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3800" windowHeight="6105" tabRatio="818" activeTab="1"/>
  </bookViews>
  <sheets>
    <sheet name="Instructions" sheetId="11" r:id="rId1"/>
    <sheet name="Employee Direct Care" sheetId="1" r:id="rId2"/>
    <sheet name="FFS-Contracted Direct Care" sheetId="7" r:id="rId3"/>
    <sheet name="Indirect Care Costs" sheetId="2" r:id="rId4"/>
    <sheet name="Model Analysis" sheetId="8" r:id="rId5"/>
    <sheet name="Benchmark Summary" sheetId="9" r:id="rId6"/>
    <sheet name="Quick Analysis" sheetId="10" r:id="rId7"/>
    <sheet name="CPT" sheetId="4" r:id="rId8"/>
    <sheet name="DataTab" sheetId="12" r:id="rId9"/>
    <sheet name="DataCPT" sheetId="13" r:id="rId10"/>
  </sheets>
  <definedNames>
    <definedName name="_xlnm.Print_Area" localSheetId="7">CPT!$A$1:$L$50</definedName>
    <definedName name="_xlnm.Print_Area" localSheetId="3">'Indirect Care Costs'!$A$1:$M$38</definedName>
    <definedName name="_xlnm.Print_Titles" localSheetId="1">'Employee Direct Care'!$13:$13</definedName>
    <definedName name="_xlnm.Print_Titles" localSheetId="2">'FFS-Contracted Direct Care'!$11:$11</definedName>
  </definedNames>
  <calcPr calcId="152511" iterate="1" iterateCount="50"/>
</workbook>
</file>

<file path=xl/calcChain.xml><?xml version="1.0" encoding="utf-8"?>
<calcChain xmlns="http://schemas.openxmlformats.org/spreadsheetml/2006/main">
  <c r="AS3" i="13" l="1"/>
  <c r="AR3" i="13"/>
  <c r="AQ9" i="13"/>
  <c r="AQ4" i="13"/>
  <c r="AQ3" i="13"/>
  <c r="AP9" i="13"/>
  <c r="AP5" i="13"/>
  <c r="AP4" i="13"/>
  <c r="AP3" i="13"/>
  <c r="AO9" i="13"/>
  <c r="AO5" i="13"/>
  <c r="AO4" i="13"/>
  <c r="AO3" i="13"/>
  <c r="AN9" i="13"/>
  <c r="AN5" i="13"/>
  <c r="AN4" i="13"/>
  <c r="AN3" i="13"/>
  <c r="AM9" i="13"/>
  <c r="AM5" i="13"/>
  <c r="AM4" i="13"/>
  <c r="AM3" i="13"/>
  <c r="AL9" i="13"/>
  <c r="AL5" i="13"/>
  <c r="AL4" i="13"/>
  <c r="AL3" i="13"/>
  <c r="AK9" i="13"/>
  <c r="AK5" i="13"/>
  <c r="AK4" i="13"/>
  <c r="AK3" i="13"/>
  <c r="AJ9" i="13"/>
  <c r="AJ5" i="13"/>
  <c r="AJ4" i="13"/>
  <c r="AJ3" i="13"/>
  <c r="AI9" i="13"/>
  <c r="AI5" i="13"/>
  <c r="AI4" i="13"/>
  <c r="AI3" i="13"/>
  <c r="AH9" i="13"/>
  <c r="AH5" i="13"/>
  <c r="AH4" i="13"/>
  <c r="AH3" i="13"/>
  <c r="AG9" i="13"/>
  <c r="AG5" i="13"/>
  <c r="AG4" i="13"/>
  <c r="AG3" i="13"/>
  <c r="AF9" i="13"/>
  <c r="AF5" i="13"/>
  <c r="AF4" i="13"/>
  <c r="AF3" i="13"/>
  <c r="AE9" i="13"/>
  <c r="AE5" i="13"/>
  <c r="AE4" i="13"/>
  <c r="AE3" i="13"/>
  <c r="AD9" i="13"/>
  <c r="AD5" i="13"/>
  <c r="AD4" i="13"/>
  <c r="AD3" i="13"/>
  <c r="AC9" i="13"/>
  <c r="AC5" i="13"/>
  <c r="AC4" i="13"/>
  <c r="AC3" i="13"/>
  <c r="AB9" i="13"/>
  <c r="AB5" i="13"/>
  <c r="AB4" i="13"/>
  <c r="AB3" i="13"/>
  <c r="AA9" i="13"/>
  <c r="AA5" i="13"/>
  <c r="AA4" i="13"/>
  <c r="AA3" i="13"/>
  <c r="Z9" i="13"/>
  <c r="Z5" i="13"/>
  <c r="Z4" i="13"/>
  <c r="Z3" i="13"/>
  <c r="Y9" i="13"/>
  <c r="Y5" i="13"/>
  <c r="Y4" i="13"/>
  <c r="Y3" i="13"/>
  <c r="X9" i="13"/>
  <c r="X5" i="13"/>
  <c r="X3" i="13"/>
  <c r="W9" i="13"/>
  <c r="W5" i="13"/>
  <c r="W4" i="13"/>
  <c r="W3" i="13"/>
  <c r="V9" i="13"/>
  <c r="V5" i="13"/>
  <c r="V4" i="13"/>
  <c r="V3" i="13"/>
  <c r="U9" i="13"/>
  <c r="U5" i="13"/>
  <c r="U4" i="13"/>
  <c r="U3" i="13"/>
  <c r="T9" i="13"/>
  <c r="T5" i="13"/>
  <c r="T4" i="13"/>
  <c r="T3" i="13"/>
  <c r="S9" i="13"/>
  <c r="S5" i="13"/>
  <c r="S4" i="13"/>
  <c r="S3" i="13"/>
  <c r="R9" i="13"/>
  <c r="R5" i="13"/>
  <c r="R4" i="13"/>
  <c r="R3" i="13"/>
  <c r="Q9" i="13"/>
  <c r="Q8" i="13"/>
  <c r="Q6" i="13"/>
  <c r="Q5" i="13"/>
  <c r="Q4" i="13"/>
  <c r="Q3" i="13"/>
  <c r="P9" i="13"/>
  <c r="P5" i="13"/>
  <c r="P4" i="13"/>
  <c r="P3" i="13"/>
  <c r="O9" i="13"/>
  <c r="O5" i="13"/>
  <c r="O4" i="13"/>
  <c r="O3" i="13"/>
  <c r="N9" i="13"/>
  <c r="N5" i="13"/>
  <c r="N4" i="13"/>
  <c r="N3" i="13"/>
  <c r="M9" i="13"/>
  <c r="M5" i="13"/>
  <c r="M4" i="13"/>
  <c r="M3" i="13"/>
  <c r="L9" i="13"/>
  <c r="L5" i="13"/>
  <c r="L4" i="13"/>
  <c r="L3" i="13"/>
  <c r="K9" i="13"/>
  <c r="K5" i="13"/>
  <c r="K4" i="13"/>
  <c r="K3" i="13"/>
  <c r="J9" i="13"/>
  <c r="J5" i="13"/>
  <c r="J4" i="13"/>
  <c r="J3" i="13"/>
  <c r="I9" i="13"/>
  <c r="I5" i="13"/>
  <c r="I4" i="13"/>
  <c r="I3" i="13"/>
  <c r="H9" i="13"/>
  <c r="H5" i="13"/>
  <c r="H4" i="13"/>
  <c r="H3" i="13"/>
  <c r="G9" i="13"/>
  <c r="G5" i="13"/>
  <c r="G4" i="13"/>
  <c r="G3" i="13"/>
  <c r="F9" i="13"/>
  <c r="F8" i="13"/>
  <c r="F7" i="13"/>
  <c r="F6" i="13"/>
  <c r="F5" i="13"/>
  <c r="F4" i="13"/>
  <c r="F3" i="13"/>
  <c r="E9" i="13"/>
  <c r="E5" i="13"/>
  <c r="E4" i="13"/>
  <c r="E3" i="13"/>
  <c r="D9" i="13"/>
  <c r="D5" i="13"/>
  <c r="D3" i="13"/>
  <c r="C9" i="13"/>
  <c r="C5" i="13"/>
  <c r="C4" i="13"/>
  <c r="C3" i="13"/>
  <c r="CB4" i="12"/>
  <c r="B23" i="9"/>
  <c r="B22" i="9"/>
  <c r="AC4" i="12"/>
  <c r="AJ4" i="12"/>
  <c r="AB4" i="12"/>
  <c r="AI4" i="12"/>
  <c r="E17" i="10" l="1"/>
  <c r="C17" i="10"/>
  <c r="B9" i="10"/>
  <c r="DC4" i="12" l="1"/>
  <c r="CY4" i="12"/>
  <c r="CW4" i="12"/>
  <c r="CM4" i="12"/>
  <c r="CL4" i="12"/>
  <c r="CK4" i="12"/>
  <c r="CJ4" i="12"/>
  <c r="CI4" i="12"/>
  <c r="CH4" i="12"/>
  <c r="CG4" i="12"/>
  <c r="CF4" i="12"/>
  <c r="CE4" i="12"/>
  <c r="CD4" i="12"/>
  <c r="CC4" i="12"/>
  <c r="CA4" i="12"/>
  <c r="BZ4" i="12"/>
  <c r="BY4" i="12"/>
  <c r="BX4" i="12"/>
  <c r="BV4" i="12"/>
  <c r="BU4" i="12"/>
  <c r="BS4" i="12"/>
  <c r="BR4" i="12"/>
  <c r="BQ4" i="12"/>
  <c r="AM4" i="12"/>
  <c r="AL4" i="12"/>
  <c r="AK4" i="12"/>
  <c r="AH4" i="12"/>
  <c r="AG4" i="12"/>
  <c r="AF4" i="12"/>
  <c r="AE4" i="12"/>
  <c r="AD4" i="12"/>
  <c r="Z4" i="12"/>
  <c r="Y4" i="12"/>
  <c r="X4" i="12"/>
  <c r="U4" i="12" l="1"/>
  <c r="T4" i="12"/>
  <c r="S4" i="12"/>
  <c r="C4" i="12"/>
  <c r="B4" i="12"/>
  <c r="C18" i="10" l="1"/>
  <c r="C16" i="10"/>
  <c r="CP4" i="12" s="1"/>
  <c r="G48" i="4"/>
  <c r="AQ5" i="13" s="1"/>
  <c r="F9" i="4"/>
  <c r="D4" i="13" s="1"/>
  <c r="CU4" i="12" l="1"/>
  <c r="CR4" i="12"/>
  <c r="F18" i="10"/>
  <c r="DB4" i="12" s="1"/>
  <c r="D18" i="10"/>
  <c r="D16" i="10"/>
  <c r="CS4" i="12" s="1"/>
  <c r="F16" i="10"/>
  <c r="CZ4" i="12" s="1"/>
  <c r="B20" i="10"/>
  <c r="CN4" i="12" s="1"/>
  <c r="C13" i="10"/>
  <c r="B13" i="10" l="1"/>
  <c r="BW4" i="12" s="1"/>
  <c r="BT4" i="12"/>
  <c r="CQ4" i="12"/>
  <c r="D17" i="10"/>
  <c r="CT4" i="12" s="1"/>
  <c r="D18" i="2"/>
  <c r="L4" i="12" s="1"/>
  <c r="E16" i="2"/>
  <c r="E15" i="2"/>
  <c r="J131" i="1"/>
  <c r="H131" i="1"/>
  <c r="G131" i="1"/>
  <c r="I131" i="1" s="1"/>
  <c r="J130" i="1"/>
  <c r="H130" i="1"/>
  <c r="G130" i="1"/>
  <c r="I130" i="1" s="1"/>
  <c r="J129" i="1"/>
  <c r="H129" i="1"/>
  <c r="G129" i="1"/>
  <c r="I129" i="1" s="1"/>
  <c r="J128" i="1"/>
  <c r="H128" i="1"/>
  <c r="G128" i="1"/>
  <c r="I128" i="1" s="1"/>
  <c r="J127" i="1"/>
  <c r="H127" i="1"/>
  <c r="G127" i="1"/>
  <c r="I127" i="1" s="1"/>
  <c r="J123" i="1"/>
  <c r="H123" i="1"/>
  <c r="G123" i="1"/>
  <c r="I123" i="1" s="1"/>
  <c r="J122" i="1"/>
  <c r="H122" i="1"/>
  <c r="G122" i="1"/>
  <c r="I122" i="1" s="1"/>
  <c r="J121" i="1"/>
  <c r="H121" i="1"/>
  <c r="G121" i="1"/>
  <c r="I121" i="1" s="1"/>
  <c r="J120" i="1"/>
  <c r="H120" i="1"/>
  <c r="G120" i="1"/>
  <c r="I120" i="1" s="1"/>
  <c r="J119" i="1"/>
  <c r="H119" i="1"/>
  <c r="G119" i="1"/>
  <c r="I119" i="1" s="1"/>
  <c r="J115" i="1"/>
  <c r="H115" i="1"/>
  <c r="G115" i="1"/>
  <c r="I115" i="1" s="1"/>
  <c r="J114" i="1"/>
  <c r="H114" i="1"/>
  <c r="G114" i="1"/>
  <c r="I114" i="1" s="1"/>
  <c r="J113" i="1"/>
  <c r="H113" i="1"/>
  <c r="G113" i="1"/>
  <c r="I113" i="1" s="1"/>
  <c r="J112" i="1"/>
  <c r="H112" i="1"/>
  <c r="G112" i="1"/>
  <c r="I112" i="1" s="1"/>
  <c r="G111" i="1"/>
  <c r="I111" i="1" s="1"/>
  <c r="J107" i="1"/>
  <c r="H107" i="1"/>
  <c r="G107" i="1"/>
  <c r="I107" i="1" s="1"/>
  <c r="J106" i="1"/>
  <c r="H106" i="1"/>
  <c r="G106" i="1"/>
  <c r="I106" i="1" s="1"/>
  <c r="J105" i="1"/>
  <c r="H105" i="1"/>
  <c r="G105" i="1"/>
  <c r="I105" i="1" s="1"/>
  <c r="J104" i="1"/>
  <c r="H104" i="1"/>
  <c r="G104" i="1"/>
  <c r="I104" i="1" s="1"/>
  <c r="J103" i="1"/>
  <c r="H103" i="1"/>
  <c r="G103" i="1"/>
  <c r="I103" i="1" s="1"/>
  <c r="J99" i="1"/>
  <c r="H99" i="1"/>
  <c r="G99" i="1"/>
  <c r="I99" i="1" s="1"/>
  <c r="J98" i="1"/>
  <c r="H98" i="1"/>
  <c r="H94" i="1" s="1"/>
  <c r="G33" i="2" s="1"/>
  <c r="G98" i="1"/>
  <c r="I98" i="1" s="1"/>
  <c r="J97" i="1"/>
  <c r="H97" i="1"/>
  <c r="G97" i="1"/>
  <c r="I97" i="1" s="1"/>
  <c r="J96" i="1"/>
  <c r="H96" i="1"/>
  <c r="G96" i="1"/>
  <c r="I96" i="1" s="1"/>
  <c r="J95" i="1"/>
  <c r="H95" i="1"/>
  <c r="G95" i="1"/>
  <c r="I95" i="1" s="1"/>
  <c r="J91" i="1"/>
  <c r="H91" i="1"/>
  <c r="G91" i="1"/>
  <c r="I91" i="1" s="1"/>
  <c r="J90" i="1"/>
  <c r="H90" i="1"/>
  <c r="G90" i="1"/>
  <c r="I90" i="1" s="1"/>
  <c r="G89" i="1"/>
  <c r="I89" i="1" s="1"/>
  <c r="G88" i="1"/>
  <c r="I88" i="1" s="1"/>
  <c r="G87" i="1"/>
  <c r="I87" i="1" s="1"/>
  <c r="J83" i="1"/>
  <c r="H83" i="1"/>
  <c r="G83" i="1"/>
  <c r="I83" i="1" s="1"/>
  <c r="J82" i="1"/>
  <c r="H82" i="1"/>
  <c r="G82" i="1"/>
  <c r="I82" i="1" s="1"/>
  <c r="J81" i="1"/>
  <c r="H81" i="1"/>
  <c r="G81" i="1"/>
  <c r="I81" i="1" s="1"/>
  <c r="J80" i="1"/>
  <c r="H80" i="1"/>
  <c r="G80" i="1"/>
  <c r="I80" i="1" s="1"/>
  <c r="J79" i="1"/>
  <c r="H79" i="1"/>
  <c r="G79" i="1"/>
  <c r="I79" i="1" s="1"/>
  <c r="J75" i="1"/>
  <c r="H75" i="1"/>
  <c r="G75" i="1"/>
  <c r="I75" i="1" s="1"/>
  <c r="J74" i="1"/>
  <c r="H74" i="1"/>
  <c r="G74" i="1"/>
  <c r="I74" i="1" s="1"/>
  <c r="J73" i="1"/>
  <c r="H73" i="1"/>
  <c r="G73" i="1"/>
  <c r="I73" i="1" s="1"/>
  <c r="J72" i="1"/>
  <c r="H72" i="1"/>
  <c r="G72" i="1"/>
  <c r="I72" i="1" s="1"/>
  <c r="J71" i="1"/>
  <c r="H71" i="1"/>
  <c r="G71" i="1"/>
  <c r="I71" i="1" s="1"/>
  <c r="J67" i="1"/>
  <c r="H67" i="1"/>
  <c r="G67" i="1"/>
  <c r="I67" i="1" s="1"/>
  <c r="J66" i="1"/>
  <c r="H66" i="1"/>
  <c r="G66" i="1"/>
  <c r="I66" i="1" s="1"/>
  <c r="J65" i="1"/>
  <c r="H65" i="1"/>
  <c r="G65" i="1"/>
  <c r="I65" i="1" s="1"/>
  <c r="J64" i="1"/>
  <c r="H64" i="1"/>
  <c r="G64" i="1"/>
  <c r="I64" i="1" s="1"/>
  <c r="J63" i="1"/>
  <c r="H63" i="1"/>
  <c r="G63" i="1"/>
  <c r="I63" i="1" s="1"/>
  <c r="J59" i="1"/>
  <c r="H59" i="1"/>
  <c r="G59" i="1"/>
  <c r="I59" i="1" s="1"/>
  <c r="J58" i="1"/>
  <c r="H58" i="1"/>
  <c r="G58" i="1"/>
  <c r="I58" i="1" s="1"/>
  <c r="J57" i="1"/>
  <c r="H57" i="1"/>
  <c r="G57" i="1"/>
  <c r="I57" i="1" s="1"/>
  <c r="J56" i="1"/>
  <c r="H56" i="1"/>
  <c r="G56" i="1"/>
  <c r="I56" i="1" s="1"/>
  <c r="J55" i="1"/>
  <c r="H55" i="1"/>
  <c r="G55" i="1"/>
  <c r="I55" i="1" s="1"/>
  <c r="J51" i="1"/>
  <c r="H51" i="1"/>
  <c r="G51" i="1"/>
  <c r="I51" i="1" s="1"/>
  <c r="J50" i="1"/>
  <c r="H50" i="1"/>
  <c r="G50" i="1"/>
  <c r="I50" i="1" s="1"/>
  <c r="J49" i="1"/>
  <c r="H49" i="1"/>
  <c r="G49" i="1"/>
  <c r="I49" i="1" s="1"/>
  <c r="J48" i="1"/>
  <c r="H48" i="1"/>
  <c r="G48" i="1"/>
  <c r="I48" i="1" s="1"/>
  <c r="J47" i="1"/>
  <c r="H47" i="1"/>
  <c r="G47" i="1"/>
  <c r="I47" i="1" s="1"/>
  <c r="J43" i="1"/>
  <c r="H43" i="1"/>
  <c r="G43" i="1"/>
  <c r="I43" i="1" s="1"/>
  <c r="J42" i="1"/>
  <c r="H42" i="1"/>
  <c r="G42" i="1"/>
  <c r="I42" i="1" s="1"/>
  <c r="J41" i="1"/>
  <c r="H41" i="1"/>
  <c r="G41" i="1"/>
  <c r="I41" i="1" s="1"/>
  <c r="J40" i="1"/>
  <c r="H40" i="1"/>
  <c r="G40" i="1"/>
  <c r="I40" i="1" s="1"/>
  <c r="J39" i="1"/>
  <c r="H39" i="1"/>
  <c r="G39" i="1"/>
  <c r="I39" i="1" s="1"/>
  <c r="J35" i="1"/>
  <c r="H35" i="1"/>
  <c r="G35" i="1"/>
  <c r="I35" i="1" s="1"/>
  <c r="J34" i="1"/>
  <c r="H34" i="1"/>
  <c r="G34" i="1"/>
  <c r="I34" i="1" s="1"/>
  <c r="J33" i="1"/>
  <c r="H33" i="1"/>
  <c r="G33" i="1"/>
  <c r="I33" i="1" s="1"/>
  <c r="J32" i="1"/>
  <c r="H32" i="1"/>
  <c r="G32" i="1"/>
  <c r="I32" i="1" s="1"/>
  <c r="G31" i="1"/>
  <c r="I31" i="1" s="1"/>
  <c r="J27" i="1"/>
  <c r="H27" i="1"/>
  <c r="G27" i="1"/>
  <c r="I27" i="1" s="1"/>
  <c r="J26" i="1"/>
  <c r="H26" i="1"/>
  <c r="G26" i="1"/>
  <c r="I26" i="1" s="1"/>
  <c r="J25" i="1"/>
  <c r="H25" i="1"/>
  <c r="G25" i="1"/>
  <c r="I25" i="1" s="1"/>
  <c r="J24" i="1"/>
  <c r="H24" i="1"/>
  <c r="G24" i="1"/>
  <c r="I24" i="1" s="1"/>
  <c r="J23" i="1"/>
  <c r="H23" i="1"/>
  <c r="G23" i="1"/>
  <c r="I23" i="1" s="1"/>
  <c r="J19" i="1"/>
  <c r="H19" i="1"/>
  <c r="G19" i="1"/>
  <c r="I19" i="1" s="1"/>
  <c r="J18" i="1"/>
  <c r="H18" i="1"/>
  <c r="G18" i="1"/>
  <c r="I18" i="1" s="1"/>
  <c r="J17" i="1"/>
  <c r="H17" i="1"/>
  <c r="G17" i="1"/>
  <c r="I17" i="1" s="1"/>
  <c r="J16" i="1"/>
  <c r="H16" i="1"/>
  <c r="G16" i="1"/>
  <c r="I16" i="1" s="1"/>
  <c r="G15" i="1"/>
  <c r="H15" i="1" s="1"/>
  <c r="J15" i="1" s="1"/>
  <c r="G22" i="1"/>
  <c r="F24" i="2" s="1"/>
  <c r="H46" i="1" l="1"/>
  <c r="G27" i="2" s="1"/>
  <c r="J54" i="1"/>
  <c r="E28" i="2" s="1"/>
  <c r="H78" i="1"/>
  <c r="G31" i="2" s="1"/>
  <c r="J102" i="1"/>
  <c r="E34" i="2" s="1"/>
  <c r="J118" i="1"/>
  <c r="E36" i="2" s="1"/>
  <c r="G16" i="10"/>
  <c r="H16" i="10" s="1"/>
  <c r="DI4" i="12" s="1"/>
  <c r="G70" i="1"/>
  <c r="F30" i="2" s="1"/>
  <c r="DE4" i="12"/>
  <c r="F17" i="10"/>
  <c r="CX4" i="12"/>
  <c r="G38" i="1"/>
  <c r="F26" i="2" s="1"/>
  <c r="I30" i="1"/>
  <c r="D25" i="2" s="1"/>
  <c r="H54" i="1"/>
  <c r="G28" i="2" s="1"/>
  <c r="J62" i="1"/>
  <c r="E29" i="2" s="1"/>
  <c r="I94" i="1"/>
  <c r="D33" i="2" s="1"/>
  <c r="H102" i="1"/>
  <c r="G34" i="2" s="1"/>
  <c r="H118" i="1"/>
  <c r="G36" i="2" s="1"/>
  <c r="J126" i="1"/>
  <c r="E37" i="2" s="1"/>
  <c r="H22" i="1"/>
  <c r="G24" i="2" s="1"/>
  <c r="J22" i="1"/>
  <c r="E24" i="2" s="1"/>
  <c r="H38" i="1"/>
  <c r="G26" i="2" s="1"/>
  <c r="J38" i="1"/>
  <c r="E26" i="2" s="1"/>
  <c r="J46" i="1"/>
  <c r="E27" i="2" s="1"/>
  <c r="H62" i="1"/>
  <c r="G29" i="2" s="1"/>
  <c r="H70" i="1"/>
  <c r="G30" i="2" s="1"/>
  <c r="J70" i="1"/>
  <c r="E30" i="2" s="1"/>
  <c r="J78" i="1"/>
  <c r="E31" i="2" s="1"/>
  <c r="J94" i="1"/>
  <c r="E33" i="2" s="1"/>
  <c r="H126" i="1"/>
  <c r="G37" i="2" s="1"/>
  <c r="G18" i="10"/>
  <c r="G17" i="10"/>
  <c r="G126" i="1"/>
  <c r="F37" i="2" s="1"/>
  <c r="G102" i="1"/>
  <c r="F34" i="2" s="1"/>
  <c r="G118" i="1"/>
  <c r="F36" i="2" s="1"/>
  <c r="G30" i="1"/>
  <c r="F25" i="2" s="1"/>
  <c r="G46" i="1"/>
  <c r="F27" i="2" s="1"/>
  <c r="G78" i="1"/>
  <c r="F31" i="2" s="1"/>
  <c r="G94" i="1"/>
  <c r="F33" i="2" s="1"/>
  <c r="I54" i="1"/>
  <c r="D28" i="2" s="1"/>
  <c r="I86" i="1"/>
  <c r="D32" i="2" s="1"/>
  <c r="I102" i="1"/>
  <c r="D34" i="2" s="1"/>
  <c r="G62" i="1"/>
  <c r="F29" i="2" s="1"/>
  <c r="I22" i="1"/>
  <c r="D24" i="2" s="1"/>
  <c r="I38" i="1"/>
  <c r="D26" i="2" s="1"/>
  <c r="I70" i="1"/>
  <c r="D30" i="2" s="1"/>
  <c r="G110" i="1"/>
  <c r="F35" i="2" s="1"/>
  <c r="G54" i="1"/>
  <c r="F28" i="2" s="1"/>
  <c r="G86" i="1"/>
  <c r="F32" i="2" s="1"/>
  <c r="I110" i="1"/>
  <c r="D35" i="2" s="1"/>
  <c r="I126" i="1"/>
  <c r="D37" i="2" s="1"/>
  <c r="I118" i="1"/>
  <c r="D36" i="2" s="1"/>
  <c r="I46" i="1"/>
  <c r="D27" i="2" s="1"/>
  <c r="I62" i="1"/>
  <c r="D29" i="2" s="1"/>
  <c r="I78" i="1"/>
  <c r="D31" i="2" s="1"/>
  <c r="H111" i="1"/>
  <c r="H87" i="1"/>
  <c r="H88" i="1"/>
  <c r="J88" i="1" s="1"/>
  <c r="H89" i="1"/>
  <c r="J89" i="1" s="1"/>
  <c r="H31" i="1"/>
  <c r="I15" i="1"/>
  <c r="B37" i="2"/>
  <c r="B36" i="2"/>
  <c r="B35" i="2"/>
  <c r="B34" i="2"/>
  <c r="B33" i="2"/>
  <c r="B32" i="2"/>
  <c r="B31" i="2"/>
  <c r="B30" i="2"/>
  <c r="B29" i="2"/>
  <c r="B28" i="2"/>
  <c r="B27" i="2"/>
  <c r="B26" i="2"/>
  <c r="B25" i="2"/>
  <c r="B24" i="2"/>
  <c r="B23" i="2"/>
  <c r="B7" i="9"/>
  <c r="E21" i="9"/>
  <c r="BO4" i="12" s="1"/>
  <c r="E11" i="9"/>
  <c r="BF4" i="12" s="1"/>
  <c r="E10" i="9"/>
  <c r="BE4" i="12" s="1"/>
  <c r="B24" i="9"/>
  <c r="B21" i="9"/>
  <c r="B20" i="9"/>
  <c r="B19" i="9"/>
  <c r="B18" i="9"/>
  <c r="G20" i="10" l="1"/>
  <c r="DA4" i="12"/>
  <c r="H17" i="10"/>
  <c r="DJ4" i="12" s="1"/>
  <c r="DF4" i="12"/>
  <c r="H18" i="10"/>
  <c r="DK4" i="12" s="1"/>
  <c r="DG4" i="12"/>
  <c r="B25" i="9"/>
  <c r="J111" i="1"/>
  <c r="J110" i="1" s="1"/>
  <c r="E35" i="2" s="1"/>
  <c r="H110" i="1"/>
  <c r="G35" i="2" s="1"/>
  <c r="J87" i="1"/>
  <c r="J86" i="1" s="1"/>
  <c r="E32" i="2" s="1"/>
  <c r="H86" i="1"/>
  <c r="G32" i="2" s="1"/>
  <c r="J31" i="1"/>
  <c r="J30" i="1" s="1"/>
  <c r="E25" i="2" s="1"/>
  <c r="H30" i="1"/>
  <c r="G25" i="2" s="1"/>
  <c r="C17" i="8"/>
  <c r="C13" i="8"/>
  <c r="B9" i="8"/>
  <c r="I21" i="7"/>
  <c r="K21" i="7" s="1"/>
  <c r="H21" i="7"/>
  <c r="I129" i="7"/>
  <c r="K129" i="7" s="1"/>
  <c r="H129" i="7"/>
  <c r="I128" i="7"/>
  <c r="K128" i="7" s="1"/>
  <c r="H128" i="7"/>
  <c r="I127" i="7"/>
  <c r="K127" i="7" s="1"/>
  <c r="H127" i="7"/>
  <c r="I126" i="7"/>
  <c r="K126" i="7" s="1"/>
  <c r="H126" i="7"/>
  <c r="I125" i="7"/>
  <c r="K125" i="7" s="1"/>
  <c r="H125" i="7"/>
  <c r="H124" i="7" s="1"/>
  <c r="K37" i="2" s="1"/>
  <c r="I121" i="7"/>
  <c r="K121" i="7" s="1"/>
  <c r="H121" i="7"/>
  <c r="I120" i="7"/>
  <c r="K120" i="7" s="1"/>
  <c r="H120" i="7"/>
  <c r="I119" i="7"/>
  <c r="K119" i="7" s="1"/>
  <c r="H119" i="7"/>
  <c r="I118" i="7"/>
  <c r="K118" i="7" s="1"/>
  <c r="H118" i="7"/>
  <c r="I117" i="7"/>
  <c r="K117" i="7" s="1"/>
  <c r="H117" i="7"/>
  <c r="I113" i="7"/>
  <c r="K113" i="7" s="1"/>
  <c r="H113" i="7"/>
  <c r="I112" i="7"/>
  <c r="K112" i="7" s="1"/>
  <c r="H112" i="7"/>
  <c r="I111" i="7"/>
  <c r="K111" i="7" s="1"/>
  <c r="H111" i="7"/>
  <c r="I110" i="7"/>
  <c r="K110" i="7" s="1"/>
  <c r="H110" i="7"/>
  <c r="I109" i="7"/>
  <c r="K109" i="7" s="1"/>
  <c r="H109" i="7"/>
  <c r="H108" i="7" s="1"/>
  <c r="K35" i="2" s="1"/>
  <c r="I105" i="7"/>
  <c r="K105" i="7" s="1"/>
  <c r="H105" i="7"/>
  <c r="I104" i="7"/>
  <c r="K104" i="7" s="1"/>
  <c r="H104" i="7"/>
  <c r="I103" i="7"/>
  <c r="K103" i="7" s="1"/>
  <c r="H103" i="7"/>
  <c r="I102" i="7"/>
  <c r="K102" i="7" s="1"/>
  <c r="H102" i="7"/>
  <c r="I101" i="7"/>
  <c r="K101" i="7" s="1"/>
  <c r="H101" i="7"/>
  <c r="I97" i="7"/>
  <c r="K97" i="7" s="1"/>
  <c r="H97" i="7"/>
  <c r="I96" i="7"/>
  <c r="K96" i="7" s="1"/>
  <c r="H96" i="7"/>
  <c r="I95" i="7"/>
  <c r="K95" i="7" s="1"/>
  <c r="H95" i="7"/>
  <c r="I94" i="7"/>
  <c r="K94" i="7" s="1"/>
  <c r="H94" i="7"/>
  <c r="I93" i="7"/>
  <c r="K93" i="7" s="1"/>
  <c r="K92" i="7" s="1"/>
  <c r="J33" i="2" s="1"/>
  <c r="H93" i="7"/>
  <c r="H92" i="7" s="1"/>
  <c r="K33" i="2" s="1"/>
  <c r="I89" i="7"/>
  <c r="K89" i="7" s="1"/>
  <c r="H89" i="7"/>
  <c r="I88" i="7"/>
  <c r="K88" i="7" s="1"/>
  <c r="H88" i="7"/>
  <c r="I87" i="7"/>
  <c r="K87" i="7" s="1"/>
  <c r="H87" i="7"/>
  <c r="I86" i="7"/>
  <c r="K86" i="7" s="1"/>
  <c r="H86" i="7"/>
  <c r="I85" i="7"/>
  <c r="K85" i="7" s="1"/>
  <c r="H85" i="7"/>
  <c r="I81" i="7"/>
  <c r="K81" i="7" s="1"/>
  <c r="H81" i="7"/>
  <c r="I80" i="7"/>
  <c r="K80" i="7" s="1"/>
  <c r="H80" i="7"/>
  <c r="I79" i="7"/>
  <c r="K79" i="7" s="1"/>
  <c r="H79" i="7"/>
  <c r="I78" i="7"/>
  <c r="K78" i="7" s="1"/>
  <c r="H78" i="7"/>
  <c r="I77" i="7"/>
  <c r="K77" i="7" s="1"/>
  <c r="K76" i="7" s="1"/>
  <c r="J31" i="2" s="1"/>
  <c r="H77" i="7"/>
  <c r="H76" i="7" s="1"/>
  <c r="K31" i="2" s="1"/>
  <c r="I73" i="7"/>
  <c r="K73" i="7" s="1"/>
  <c r="H73" i="7"/>
  <c r="I72" i="7"/>
  <c r="K72" i="7" s="1"/>
  <c r="H72" i="7"/>
  <c r="I71" i="7"/>
  <c r="K71" i="7" s="1"/>
  <c r="H71" i="7"/>
  <c r="I70" i="7"/>
  <c r="K70" i="7" s="1"/>
  <c r="H70" i="7"/>
  <c r="I69" i="7"/>
  <c r="K69" i="7" s="1"/>
  <c r="H69" i="7"/>
  <c r="I65" i="7"/>
  <c r="K65" i="7" s="1"/>
  <c r="H65" i="7"/>
  <c r="I64" i="7"/>
  <c r="K64" i="7" s="1"/>
  <c r="H64" i="7"/>
  <c r="I63" i="7"/>
  <c r="K63" i="7" s="1"/>
  <c r="H63" i="7"/>
  <c r="I62" i="7"/>
  <c r="K62" i="7" s="1"/>
  <c r="H62" i="7"/>
  <c r="I61" i="7"/>
  <c r="K61" i="7" s="1"/>
  <c r="K60" i="7" s="1"/>
  <c r="J29" i="2" s="1"/>
  <c r="H61" i="7"/>
  <c r="H60" i="7" s="1"/>
  <c r="K29" i="2" s="1"/>
  <c r="I57" i="7"/>
  <c r="K57" i="7" s="1"/>
  <c r="H57" i="7"/>
  <c r="I56" i="7"/>
  <c r="K56" i="7" s="1"/>
  <c r="H56" i="7"/>
  <c r="I55" i="7"/>
  <c r="K55" i="7" s="1"/>
  <c r="H55" i="7"/>
  <c r="I54" i="7"/>
  <c r="K54" i="7" s="1"/>
  <c r="H54" i="7"/>
  <c r="I53" i="7"/>
  <c r="K53" i="7" s="1"/>
  <c r="H53" i="7"/>
  <c r="I49" i="7"/>
  <c r="K49" i="7" s="1"/>
  <c r="H49" i="7"/>
  <c r="I48" i="7"/>
  <c r="K48" i="7" s="1"/>
  <c r="H48" i="7"/>
  <c r="I47" i="7"/>
  <c r="K47" i="7" s="1"/>
  <c r="H47" i="7"/>
  <c r="I46" i="7"/>
  <c r="K46" i="7" s="1"/>
  <c r="H46" i="7"/>
  <c r="I45" i="7"/>
  <c r="K45" i="7" s="1"/>
  <c r="H45" i="7"/>
  <c r="I41" i="7"/>
  <c r="K41" i="7" s="1"/>
  <c r="H41" i="7"/>
  <c r="I40" i="7"/>
  <c r="K40" i="7" s="1"/>
  <c r="H40" i="7"/>
  <c r="I39" i="7"/>
  <c r="K39" i="7" s="1"/>
  <c r="H39" i="7"/>
  <c r="I38" i="7"/>
  <c r="K38" i="7" s="1"/>
  <c r="H38" i="7"/>
  <c r="I37" i="7"/>
  <c r="K37" i="7" s="1"/>
  <c r="H37" i="7"/>
  <c r="I33" i="7"/>
  <c r="K33" i="7" s="1"/>
  <c r="H33" i="7"/>
  <c r="I32" i="7"/>
  <c r="K32" i="7" s="1"/>
  <c r="H32" i="7"/>
  <c r="I31" i="7"/>
  <c r="K31" i="7" s="1"/>
  <c r="H31" i="7"/>
  <c r="I30" i="7"/>
  <c r="K30" i="7" s="1"/>
  <c r="H30" i="7"/>
  <c r="I29" i="7"/>
  <c r="K29" i="7" s="1"/>
  <c r="H29" i="7"/>
  <c r="H28" i="7" s="1"/>
  <c r="K25" i="2" s="1"/>
  <c r="I25" i="7"/>
  <c r="K25" i="7" s="1"/>
  <c r="H25" i="7"/>
  <c r="I24" i="7"/>
  <c r="K24" i="7" s="1"/>
  <c r="H24" i="7"/>
  <c r="I23" i="7"/>
  <c r="K23" i="7" s="1"/>
  <c r="H23" i="7"/>
  <c r="I22" i="7"/>
  <c r="K22" i="7" s="1"/>
  <c r="H22" i="7"/>
  <c r="H20" i="7" s="1"/>
  <c r="K24" i="2" s="1"/>
  <c r="I17" i="7"/>
  <c r="K17" i="7" s="1"/>
  <c r="H17" i="7"/>
  <c r="I16" i="7"/>
  <c r="K16" i="7" s="1"/>
  <c r="H16" i="7"/>
  <c r="I15" i="7"/>
  <c r="K15" i="7" s="1"/>
  <c r="H15" i="7"/>
  <c r="I14" i="7"/>
  <c r="K14" i="7" s="1"/>
  <c r="H14" i="7"/>
  <c r="I13" i="7"/>
  <c r="K13" i="7" s="1"/>
  <c r="H13" i="7"/>
  <c r="I7" i="7"/>
  <c r="D124" i="7"/>
  <c r="D116" i="7"/>
  <c r="D108" i="7"/>
  <c r="D100" i="7"/>
  <c r="D92" i="7"/>
  <c r="D84" i="7"/>
  <c r="D76" i="7"/>
  <c r="D68" i="7"/>
  <c r="D60" i="7"/>
  <c r="D52" i="7"/>
  <c r="D44" i="7"/>
  <c r="H36" i="7"/>
  <c r="K26" i="2" s="1"/>
  <c r="D36" i="7"/>
  <c r="D28" i="7"/>
  <c r="D20" i="7"/>
  <c r="D12" i="7"/>
  <c r="H52" i="7" l="1"/>
  <c r="K28" i="2" s="1"/>
  <c r="K124" i="7"/>
  <c r="J37" i="2" s="1"/>
  <c r="I100" i="7"/>
  <c r="L34" i="2" s="1"/>
  <c r="K44" i="7"/>
  <c r="J27" i="2" s="1"/>
  <c r="I76" i="7"/>
  <c r="L31" i="2" s="1"/>
  <c r="I124" i="7"/>
  <c r="L37" i="2" s="1"/>
  <c r="H44" i="7"/>
  <c r="K27" i="2" s="1"/>
  <c r="B13" i="8"/>
  <c r="AA4" i="12"/>
  <c r="I116" i="7"/>
  <c r="L36" i="2" s="1"/>
  <c r="B26" i="10"/>
  <c r="DM4" i="12" s="1"/>
  <c r="DH4" i="12"/>
  <c r="B9" i="9"/>
  <c r="AN4" i="12"/>
  <c r="I60" i="7"/>
  <c r="L29" i="2" s="1"/>
  <c r="H68" i="7"/>
  <c r="K30" i="2" s="1"/>
  <c r="H84" i="7"/>
  <c r="K32" i="2" s="1"/>
  <c r="H100" i="7"/>
  <c r="K34" i="2" s="1"/>
  <c r="H116" i="7"/>
  <c r="K36" i="2" s="1"/>
  <c r="K36" i="7"/>
  <c r="J26" i="2" s="1"/>
  <c r="K52" i="7"/>
  <c r="J28" i="2" s="1"/>
  <c r="K68" i="7"/>
  <c r="J30" i="2" s="1"/>
  <c r="K100" i="7"/>
  <c r="J34" i="2" s="1"/>
  <c r="K116" i="7"/>
  <c r="J36" i="2" s="1"/>
  <c r="L14" i="7"/>
  <c r="J14" i="7"/>
  <c r="L17" i="7"/>
  <c r="J17" i="7"/>
  <c r="L15" i="7"/>
  <c r="J15" i="7"/>
  <c r="L16" i="7"/>
  <c r="J16" i="7"/>
  <c r="I44" i="7"/>
  <c r="L27" i="2" s="1"/>
  <c r="I68" i="7"/>
  <c r="L30" i="2" s="1"/>
  <c r="I92" i="7"/>
  <c r="L33" i="2" s="1"/>
  <c r="L22" i="7"/>
  <c r="J22" i="7"/>
  <c r="L23" i="7"/>
  <c r="J23" i="7"/>
  <c r="L24" i="7"/>
  <c r="J24" i="7"/>
  <c r="L25" i="7"/>
  <c r="J25" i="7"/>
  <c r="L29" i="7"/>
  <c r="J29" i="7"/>
  <c r="L30" i="7"/>
  <c r="J30" i="7"/>
  <c r="L31" i="7"/>
  <c r="J31" i="7"/>
  <c r="L32" i="7"/>
  <c r="J32" i="7"/>
  <c r="L33" i="7"/>
  <c r="J33" i="7"/>
  <c r="L37" i="7"/>
  <c r="J37" i="7"/>
  <c r="L38" i="7"/>
  <c r="J38" i="7"/>
  <c r="L39" i="7"/>
  <c r="J39" i="7"/>
  <c r="L40" i="7"/>
  <c r="J40" i="7"/>
  <c r="L41" i="7"/>
  <c r="J41" i="7"/>
  <c r="L45" i="7"/>
  <c r="J45" i="7"/>
  <c r="L46" i="7"/>
  <c r="J46" i="7"/>
  <c r="L47" i="7"/>
  <c r="J47" i="7"/>
  <c r="L48" i="7"/>
  <c r="J48" i="7"/>
  <c r="L49" i="7"/>
  <c r="J49" i="7"/>
  <c r="L53" i="7"/>
  <c r="J53" i="7"/>
  <c r="L54" i="7"/>
  <c r="J54" i="7"/>
  <c r="L55" i="7"/>
  <c r="J55" i="7"/>
  <c r="L56" i="7"/>
  <c r="J56" i="7"/>
  <c r="L57" i="7"/>
  <c r="J57" i="7"/>
  <c r="L61" i="7"/>
  <c r="J61" i="7"/>
  <c r="L62" i="7"/>
  <c r="J62" i="7"/>
  <c r="L63" i="7"/>
  <c r="J63" i="7"/>
  <c r="L64" i="7"/>
  <c r="J64" i="7"/>
  <c r="L65" i="7"/>
  <c r="J65" i="7"/>
  <c r="L69" i="7"/>
  <c r="J69" i="7"/>
  <c r="L70" i="7"/>
  <c r="J70" i="7"/>
  <c r="L71" i="7"/>
  <c r="J71" i="7"/>
  <c r="L72" i="7"/>
  <c r="J72" i="7"/>
  <c r="L73" i="7"/>
  <c r="J73" i="7"/>
  <c r="L77" i="7"/>
  <c r="J77" i="7"/>
  <c r="L78" i="7"/>
  <c r="J78" i="7"/>
  <c r="L79" i="7"/>
  <c r="J79" i="7"/>
  <c r="L80" i="7"/>
  <c r="J80" i="7"/>
  <c r="L81" i="7"/>
  <c r="J81" i="7"/>
  <c r="L85" i="7"/>
  <c r="J85" i="7"/>
  <c r="L86" i="7"/>
  <c r="J86" i="7"/>
  <c r="L87" i="7"/>
  <c r="J87" i="7"/>
  <c r="L88" i="7"/>
  <c r="J88" i="7"/>
  <c r="L89" i="7"/>
  <c r="J89" i="7"/>
  <c r="L93" i="7"/>
  <c r="J93" i="7"/>
  <c r="L94" i="7"/>
  <c r="J94" i="7"/>
  <c r="L95" i="7"/>
  <c r="J95" i="7"/>
  <c r="L96" i="7"/>
  <c r="J96" i="7"/>
  <c r="L97" i="7"/>
  <c r="J97" i="7"/>
  <c r="L101" i="7"/>
  <c r="J101" i="7"/>
  <c r="L102" i="7"/>
  <c r="J102" i="7"/>
  <c r="L103" i="7"/>
  <c r="J103" i="7"/>
  <c r="L104" i="7"/>
  <c r="J104" i="7"/>
  <c r="L105" i="7"/>
  <c r="J105" i="7"/>
  <c r="L109" i="7"/>
  <c r="J109" i="7"/>
  <c r="L110" i="7"/>
  <c r="J110" i="7"/>
  <c r="L111" i="7"/>
  <c r="J111" i="7"/>
  <c r="L112" i="7"/>
  <c r="J112" i="7"/>
  <c r="L113" i="7"/>
  <c r="J113" i="7"/>
  <c r="L117" i="7"/>
  <c r="J117" i="7"/>
  <c r="L118" i="7"/>
  <c r="J118" i="7"/>
  <c r="L119" i="7"/>
  <c r="J119" i="7"/>
  <c r="L120" i="7"/>
  <c r="J120" i="7"/>
  <c r="L121" i="7"/>
  <c r="J121" i="7"/>
  <c r="L125" i="7"/>
  <c r="J125" i="7"/>
  <c r="L126" i="7"/>
  <c r="J126" i="7"/>
  <c r="L127" i="7"/>
  <c r="J127" i="7"/>
  <c r="L128" i="7"/>
  <c r="J128" i="7"/>
  <c r="L129" i="7"/>
  <c r="J129" i="7"/>
  <c r="L21" i="7"/>
  <c r="J21" i="7"/>
  <c r="J20" i="7" s="1"/>
  <c r="I24" i="2" s="1"/>
  <c r="L13" i="7"/>
  <c r="J13" i="7"/>
  <c r="H12" i="7"/>
  <c r="I36" i="7"/>
  <c r="L26" i="2" s="1"/>
  <c r="I52" i="7"/>
  <c r="L28" i="2" s="1"/>
  <c r="K20" i="7"/>
  <c r="J24" i="2" s="1"/>
  <c r="I20" i="7"/>
  <c r="L24" i="2" s="1"/>
  <c r="K12" i="7"/>
  <c r="J23" i="2" s="1"/>
  <c r="I12" i="7"/>
  <c r="L23" i="2" s="1"/>
  <c r="K28" i="7"/>
  <c r="J25" i="2" s="1"/>
  <c r="I28" i="7"/>
  <c r="L25" i="2" s="1"/>
  <c r="K84" i="7"/>
  <c r="J32" i="2" s="1"/>
  <c r="I84" i="7"/>
  <c r="L32" i="2" s="1"/>
  <c r="K108" i="7"/>
  <c r="J35" i="2" s="1"/>
  <c r="I108" i="7"/>
  <c r="L35" i="2" s="1"/>
  <c r="F29" i="4"/>
  <c r="X4" i="13" s="1"/>
  <c r="D110" i="1"/>
  <c r="I14" i="1"/>
  <c r="D23" i="2" s="1"/>
  <c r="D22" i="1"/>
  <c r="E14" i="2"/>
  <c r="E13" i="2"/>
  <c r="E12" i="2"/>
  <c r="E11" i="2"/>
  <c r="E10" i="2"/>
  <c r="E9" i="2"/>
  <c r="E8" i="2"/>
  <c r="E7" i="2"/>
  <c r="D126" i="1"/>
  <c r="D118" i="1"/>
  <c r="D102" i="1"/>
  <c r="D94" i="1"/>
  <c r="D86" i="1"/>
  <c r="D78" i="1"/>
  <c r="D70" i="1"/>
  <c r="D62" i="1"/>
  <c r="D54" i="1"/>
  <c r="D46" i="1"/>
  <c r="D38" i="1"/>
  <c r="D30" i="1"/>
  <c r="D14" i="1"/>
  <c r="G14" i="1"/>
  <c r="F23" i="2" s="1"/>
  <c r="F38" i="2" s="1"/>
  <c r="D4" i="12" s="1"/>
  <c r="H14" i="1"/>
  <c r="J14" i="1"/>
  <c r="E23" i="2" s="1"/>
  <c r="L12" i="7" l="1"/>
  <c r="L52" i="7"/>
  <c r="L84" i="7"/>
  <c r="L116" i="7"/>
  <c r="L100" i="7"/>
  <c r="L76" i="7"/>
  <c r="L68" i="7"/>
  <c r="L60" i="7"/>
  <c r="L44" i="7"/>
  <c r="L36" i="7"/>
  <c r="L28" i="7"/>
  <c r="E18" i="2"/>
  <c r="M4" i="12" s="1"/>
  <c r="L20" i="7"/>
  <c r="J12" i="7"/>
  <c r="I23" i="2" s="1"/>
  <c r="L124" i="7"/>
  <c r="L108" i="7"/>
  <c r="L92" i="7"/>
  <c r="L38" i="2"/>
  <c r="G4" i="12" s="1"/>
  <c r="J38" i="2"/>
  <c r="C7" i="7"/>
  <c r="C8" i="7" s="1"/>
  <c r="C9" i="7" s="1"/>
  <c r="K23" i="2"/>
  <c r="K38" i="2" s="1"/>
  <c r="F4" i="12" s="1"/>
  <c r="E38" i="2"/>
  <c r="G23" i="2"/>
  <c r="G38" i="2" s="1"/>
  <c r="J124" i="7"/>
  <c r="I37" i="2" s="1"/>
  <c r="J116" i="7"/>
  <c r="I36" i="2" s="1"/>
  <c r="J108" i="7"/>
  <c r="I35" i="2" s="1"/>
  <c r="J100" i="7"/>
  <c r="I34" i="2" s="1"/>
  <c r="J92" i="7"/>
  <c r="I33" i="2" s="1"/>
  <c r="J84" i="7"/>
  <c r="I32" i="2" s="1"/>
  <c r="J76" i="7"/>
  <c r="I31" i="2" s="1"/>
  <c r="J68" i="7"/>
  <c r="I30" i="2" s="1"/>
  <c r="J60" i="7"/>
  <c r="I29" i="2" s="1"/>
  <c r="J52" i="7"/>
  <c r="I28" i="2" s="1"/>
  <c r="J44" i="7"/>
  <c r="I27" i="2" s="1"/>
  <c r="J36" i="7"/>
  <c r="I26" i="2" s="1"/>
  <c r="J28" i="7"/>
  <c r="I25" i="2" s="1"/>
  <c r="D38" i="2"/>
  <c r="H4" i="12" s="1"/>
  <c r="N4" i="12" s="1"/>
  <c r="D9" i="1"/>
  <c r="B18" i="8"/>
  <c r="B14" i="9" s="1"/>
  <c r="D7" i="7"/>
  <c r="F20" i="10" s="1"/>
  <c r="D8" i="7"/>
  <c r="DD4" i="12" l="1"/>
  <c r="K9" i="2"/>
  <c r="R4" i="12" s="1"/>
  <c r="K4" i="12"/>
  <c r="K7" i="2"/>
  <c r="E7" i="7"/>
  <c r="D18" i="8" s="1"/>
  <c r="D20" i="10"/>
  <c r="CV4" i="12" s="1"/>
  <c r="B25" i="10"/>
  <c r="DL4" i="12" s="1"/>
  <c r="B22" i="10"/>
  <c r="CO4" i="12" s="1"/>
  <c r="I38" i="2"/>
  <c r="J4" i="12" s="1"/>
  <c r="D9" i="7"/>
  <c r="C9" i="1"/>
  <c r="C10" i="1" s="1"/>
  <c r="E9" i="9"/>
  <c r="BD4" i="12" s="1"/>
  <c r="E9" i="1"/>
  <c r="E4" i="12" s="1"/>
  <c r="E18" i="8"/>
  <c r="AT4" i="12" s="1"/>
  <c r="D10" i="1"/>
  <c r="D11" i="1" s="1"/>
  <c r="F7" i="7" l="1"/>
  <c r="C18" i="8"/>
  <c r="AQ4" i="12"/>
  <c r="K8" i="2"/>
  <c r="Q4" i="12" s="1"/>
  <c r="P4" i="12"/>
  <c r="E7" i="9"/>
  <c r="BB4" i="12" s="1"/>
  <c r="C25" i="10"/>
  <c r="DO4" i="12" s="1"/>
  <c r="B17" i="8"/>
  <c r="C11" i="1"/>
  <c r="E17" i="8"/>
  <c r="AS4" i="12" s="1"/>
  <c r="E10" i="1"/>
  <c r="E11" i="1" l="1"/>
  <c r="I4" i="12"/>
  <c r="O4" i="12" s="1"/>
  <c r="E8" i="9"/>
  <c r="BC4" i="12" s="1"/>
  <c r="B10" i="9"/>
  <c r="AO4" i="12"/>
  <c r="D17" i="8"/>
  <c r="B13" i="9"/>
  <c r="B15" i="9" s="1"/>
  <c r="B20" i="8"/>
  <c r="D20" i="8" l="1"/>
  <c r="E17" i="9" s="1"/>
  <c r="BK4" i="12" s="1"/>
  <c r="AP4" i="12"/>
  <c r="B26" i="8"/>
  <c r="E19" i="9"/>
  <c r="C26" i="10"/>
  <c r="B27" i="10"/>
  <c r="I5" i="4" l="1"/>
  <c r="H12" i="4" s="1"/>
  <c r="DN4" i="12"/>
  <c r="C27" i="10"/>
  <c r="DQ4" i="12" s="1"/>
  <c r="DP4" i="12"/>
  <c r="E18" i="9"/>
  <c r="BL4" i="12" s="1"/>
  <c r="B11" i="9"/>
  <c r="AR4" i="12" s="1"/>
  <c r="E16" i="9"/>
  <c r="BJ4" i="12" s="1"/>
  <c r="E20" i="9"/>
  <c r="BN4" i="12" s="1"/>
  <c r="C26" i="8"/>
  <c r="AW4" i="12"/>
  <c r="BM4" i="12"/>
  <c r="H14" i="4"/>
  <c r="H25" i="4"/>
  <c r="H33" i="4"/>
  <c r="H41" i="4"/>
  <c r="H17" i="4"/>
  <c r="H28" i="4"/>
  <c r="H36" i="4"/>
  <c r="H7" i="4"/>
  <c r="H30" i="4" l="1"/>
  <c r="H35" i="4"/>
  <c r="H27" i="4"/>
  <c r="H16" i="4"/>
  <c r="H43" i="4"/>
  <c r="H21" i="4"/>
  <c r="H40" i="4"/>
  <c r="H24" i="4"/>
  <c r="H13" i="4"/>
  <c r="H37" i="4"/>
  <c r="H29" i="4"/>
  <c r="H18" i="4"/>
  <c r="H8" i="4"/>
  <c r="H45" i="4"/>
  <c r="H19" i="4"/>
  <c r="H38" i="4"/>
  <c r="H10" i="4"/>
  <c r="H32" i="4"/>
  <c r="H42" i="4"/>
  <c r="H34" i="4"/>
  <c r="H26" i="4"/>
  <c r="H15" i="4"/>
  <c r="H39" i="4"/>
  <c r="H31" i="4"/>
  <c r="H23" i="4"/>
  <c r="H47" i="4"/>
  <c r="H46" i="4"/>
  <c r="H44" i="4"/>
  <c r="H20" i="4"/>
  <c r="E22" i="9"/>
  <c r="BP4" i="12" s="1"/>
  <c r="L5" i="4"/>
  <c r="AZ4" i="12"/>
  <c r="B29" i="9"/>
  <c r="H48" i="4" l="1"/>
  <c r="I50" i="4" s="1"/>
  <c r="AR4" i="13" s="1"/>
  <c r="J5" i="4" l="1"/>
  <c r="J9" i="4" s="1"/>
  <c r="D7" i="13" s="1"/>
  <c r="J29" i="4" l="1"/>
  <c r="X7" i="13" s="1"/>
  <c r="J41" i="4"/>
  <c r="AJ7" i="13" s="1"/>
  <c r="J24" i="4"/>
  <c r="S7" i="13" s="1"/>
  <c r="J43" i="4"/>
  <c r="AL7" i="13" s="1"/>
  <c r="J23" i="4"/>
  <c r="R7" i="13" s="1"/>
  <c r="J37" i="4"/>
  <c r="AF7" i="13" s="1"/>
  <c r="J16" i="4"/>
  <c r="K7" i="13" s="1"/>
  <c r="J47" i="4"/>
  <c r="J33" i="4"/>
  <c r="AB7" i="13" s="1"/>
  <c r="J12" i="4"/>
  <c r="G7" i="13" s="1"/>
  <c r="J39" i="4"/>
  <c r="AH7" i="13" s="1"/>
  <c r="J35" i="4"/>
  <c r="AD7" i="13" s="1"/>
  <c r="J31" i="4"/>
  <c r="Z7" i="13" s="1"/>
  <c r="J27" i="4"/>
  <c r="V7" i="13" s="1"/>
  <c r="J18" i="4"/>
  <c r="M7" i="13" s="1"/>
  <c r="J14" i="4"/>
  <c r="I7" i="13" s="1"/>
  <c r="J8" i="4"/>
  <c r="C7" i="13" s="1"/>
  <c r="J19" i="4"/>
  <c r="N7" i="13" s="1"/>
  <c r="J45" i="4"/>
  <c r="I43" i="4"/>
  <c r="AL6" i="13" s="1"/>
  <c r="I9" i="4"/>
  <c r="D6" i="13" s="1"/>
  <c r="J42" i="4"/>
  <c r="AK7" i="13" s="1"/>
  <c r="J40" i="4"/>
  <c r="AI7" i="13" s="1"/>
  <c r="J38" i="4"/>
  <c r="AG7" i="13" s="1"/>
  <c r="J36" i="4"/>
  <c r="AE7" i="13" s="1"/>
  <c r="J34" i="4"/>
  <c r="AC7" i="13" s="1"/>
  <c r="J32" i="4"/>
  <c r="AA7" i="13" s="1"/>
  <c r="J30" i="4"/>
  <c r="Y7" i="13" s="1"/>
  <c r="J28" i="4"/>
  <c r="W7" i="13" s="1"/>
  <c r="J26" i="4"/>
  <c r="U7" i="13" s="1"/>
  <c r="J21" i="4"/>
  <c r="P7" i="13" s="1"/>
  <c r="J17" i="4"/>
  <c r="L7" i="13" s="1"/>
  <c r="J15" i="4"/>
  <c r="J7" i="13" s="1"/>
  <c r="J13" i="4"/>
  <c r="H7" i="13" s="1"/>
  <c r="J10" i="4"/>
  <c r="E7" i="13" s="1"/>
  <c r="J25" i="4"/>
  <c r="T7" i="13" s="1"/>
  <c r="J20" i="4"/>
  <c r="O7" i="13" s="1"/>
  <c r="J22" i="4"/>
  <c r="Q7" i="13" s="1"/>
  <c r="J44" i="4"/>
  <c r="AM7" i="13" s="1"/>
  <c r="J46" i="4"/>
  <c r="AO7" i="13" s="1"/>
  <c r="I19" i="4"/>
  <c r="N6" i="13" s="1"/>
  <c r="I34" i="4"/>
  <c r="AC6" i="13" s="1"/>
  <c r="I45" i="4" l="1"/>
  <c r="AN6" i="13" s="1"/>
  <c r="AN7" i="13"/>
  <c r="I47" i="4"/>
  <c r="AP6" i="13" s="1"/>
  <c r="AP7" i="13"/>
  <c r="I41" i="4"/>
  <c r="AJ6" i="13" s="1"/>
  <c r="I12" i="4"/>
  <c r="G6" i="13" s="1"/>
  <c r="I27" i="4"/>
  <c r="I24" i="4"/>
  <c r="I37" i="4"/>
  <c r="AF6" i="13" s="1"/>
  <c r="I8" i="4"/>
  <c r="C6" i="13" s="1"/>
  <c r="I29" i="4"/>
  <c r="I36" i="4"/>
  <c r="AE6" i="13" s="1"/>
  <c r="I16" i="4"/>
  <c r="K6" i="13" s="1"/>
  <c r="I17" i="4"/>
  <c r="L6" i="13" s="1"/>
  <c r="I38" i="4"/>
  <c r="AG6" i="13" s="1"/>
  <c r="I18" i="4"/>
  <c r="I33" i="4"/>
  <c r="AB6" i="13" s="1"/>
  <c r="I28" i="4"/>
  <c r="W6" i="13" s="1"/>
  <c r="I39" i="4"/>
  <c r="AH6" i="13" s="1"/>
  <c r="I23" i="4"/>
  <c r="R6" i="13" s="1"/>
  <c r="I31" i="4"/>
  <c r="Z6" i="13" s="1"/>
  <c r="I25" i="4"/>
  <c r="T6" i="13" s="1"/>
  <c r="I26" i="4"/>
  <c r="U6" i="13" s="1"/>
  <c r="I13" i="4"/>
  <c r="H6" i="13" s="1"/>
  <c r="I15" i="4"/>
  <c r="I30" i="4"/>
  <c r="Y6" i="13" s="1"/>
  <c r="I42" i="4"/>
  <c r="AK6" i="13" s="1"/>
  <c r="I14" i="4"/>
  <c r="I35" i="4"/>
  <c r="I10" i="4"/>
  <c r="E6" i="13" s="1"/>
  <c r="I21" i="4"/>
  <c r="P6" i="13" s="1"/>
  <c r="I32" i="4"/>
  <c r="AA6" i="13" s="1"/>
  <c r="I40" i="4"/>
  <c r="L33" i="4"/>
  <c r="AB8" i="13" s="1"/>
  <c r="L34" i="4"/>
  <c r="AC8" i="13" s="1"/>
  <c r="J48" i="4"/>
  <c r="AQ7" i="13" s="1"/>
  <c r="L19" i="4"/>
  <c r="N8" i="13" s="1"/>
  <c r="I44" i="4"/>
  <c r="AM6" i="13" s="1"/>
  <c r="I20" i="4"/>
  <c r="O6" i="13" s="1"/>
  <c r="L41" i="4"/>
  <c r="AJ8" i="13" s="1"/>
  <c r="I46" i="4"/>
  <c r="AO6" i="13" s="1"/>
  <c r="L9" i="4"/>
  <c r="D8" i="13" s="1"/>
  <c r="L47" i="4"/>
  <c r="AP8" i="13" s="1"/>
  <c r="L45" i="4"/>
  <c r="AN8" i="13" s="1"/>
  <c r="L43" i="4"/>
  <c r="AL8" i="13" s="1"/>
  <c r="L40" i="4" l="1"/>
  <c r="AI8" i="13" s="1"/>
  <c r="AI6" i="13"/>
  <c r="L35" i="4"/>
  <c r="AD8" i="13" s="1"/>
  <c r="AD6" i="13"/>
  <c r="L15" i="4"/>
  <c r="J8" i="13" s="1"/>
  <c r="J6" i="13"/>
  <c r="L29" i="4"/>
  <c r="X8" i="13" s="1"/>
  <c r="X6" i="13"/>
  <c r="L27" i="4"/>
  <c r="V8" i="13" s="1"/>
  <c r="V6" i="13"/>
  <c r="L14" i="4"/>
  <c r="I8" i="13" s="1"/>
  <c r="I6" i="13"/>
  <c r="L18" i="4"/>
  <c r="M8" i="13" s="1"/>
  <c r="M6" i="13"/>
  <c r="L24" i="4"/>
  <c r="S8" i="13" s="1"/>
  <c r="S6" i="13"/>
  <c r="L12" i="4"/>
  <c r="G8" i="13" s="1"/>
  <c r="L8" i="4"/>
  <c r="C8" i="13" s="1"/>
  <c r="L37" i="4"/>
  <c r="AF8" i="13" s="1"/>
  <c r="L38" i="4"/>
  <c r="AG8" i="13" s="1"/>
  <c r="L39" i="4"/>
  <c r="AH8" i="13" s="1"/>
  <c r="L42" i="4"/>
  <c r="AK8" i="13" s="1"/>
  <c r="L17" i="4"/>
  <c r="L8" i="13" s="1"/>
  <c r="L13" i="4"/>
  <c r="H8" i="13" s="1"/>
  <c r="L28" i="4"/>
  <c r="W8" i="13" s="1"/>
  <c r="L25" i="4"/>
  <c r="T8" i="13" s="1"/>
  <c r="L30" i="4"/>
  <c r="Y8" i="13" s="1"/>
  <c r="L36" i="4"/>
  <c r="AE8" i="13" s="1"/>
  <c r="L32" i="4"/>
  <c r="AA8" i="13" s="1"/>
  <c r="L26" i="4"/>
  <c r="U8" i="13" s="1"/>
  <c r="L31" i="4"/>
  <c r="Z8" i="13" s="1"/>
  <c r="L16" i="4"/>
  <c r="K8" i="13" s="1"/>
  <c r="L21" i="4"/>
  <c r="P8" i="13" s="1"/>
  <c r="L23" i="4"/>
  <c r="R8" i="13" s="1"/>
  <c r="I48" i="4"/>
  <c r="AQ6" i="13" s="1"/>
  <c r="L10" i="4"/>
  <c r="E8" i="13" s="1"/>
  <c r="L46" i="4"/>
  <c r="AO8" i="13" s="1"/>
  <c r="L20" i="4"/>
  <c r="O8" i="13" s="1"/>
  <c r="L44" i="4"/>
  <c r="AM8" i="13" s="1"/>
  <c r="K13" i="2"/>
  <c r="V4" i="12" s="1"/>
  <c r="L48" i="4" l="1"/>
  <c r="AQ8" i="13" s="1"/>
  <c r="K15" i="2"/>
  <c r="E12" i="9"/>
  <c r="L50" i="4" l="1"/>
  <c r="AS4" i="13" s="1"/>
  <c r="E13" i="9"/>
  <c r="BG4" i="12"/>
  <c r="E19" i="8"/>
  <c r="W4" i="12"/>
  <c r="E20" i="8" l="1"/>
  <c r="B22" i="8" s="1"/>
  <c r="B33" i="9" s="1"/>
  <c r="BI4" i="12" s="1"/>
  <c r="AU4" i="12"/>
  <c r="E24" i="9"/>
  <c r="BH4" i="12"/>
  <c r="C25" i="8" l="1"/>
  <c r="B25" i="8"/>
  <c r="AY4" i="12" l="1"/>
  <c r="B27" i="9"/>
  <c r="C28" i="8"/>
  <c r="AV4" i="12"/>
  <c r="B28" i="8"/>
  <c r="AX4" i="12" l="1"/>
  <c r="BA4" i="12"/>
  <c r="B31" i="9"/>
</calcChain>
</file>

<file path=xl/comments1.xml><?xml version="1.0" encoding="utf-8"?>
<comments xmlns="http://schemas.openxmlformats.org/spreadsheetml/2006/main">
  <authors>
    <author>David Wawrzynek</author>
    <author>glenn</author>
  </authors>
  <commentList>
    <comment ref="C4" authorId="0">
      <text>
        <r>
          <rPr>
            <b/>
            <sz val="9"/>
            <color indexed="81"/>
            <rFont val="Tahoma"/>
            <family val="2"/>
          </rPr>
          <t>Required</t>
        </r>
        <r>
          <rPr>
            <sz val="9"/>
            <color indexed="81"/>
            <rFont val="Tahoma"/>
            <family val="2"/>
          </rPr>
          <t xml:space="preserve">
</t>
        </r>
      </text>
    </comment>
    <comment ref="C5" authorId="0">
      <text>
        <r>
          <rPr>
            <b/>
            <sz val="9"/>
            <color indexed="81"/>
            <rFont val="Tahoma"/>
            <family val="2"/>
          </rPr>
          <t>Required</t>
        </r>
        <r>
          <rPr>
            <sz val="9"/>
            <color indexed="81"/>
            <rFont val="Tahoma"/>
            <family val="2"/>
          </rPr>
          <t xml:space="preserve">
</t>
        </r>
      </text>
    </comment>
    <comment ref="B15" authorId="1">
      <text>
        <r>
          <rPr>
            <sz val="9"/>
            <color indexed="81"/>
            <rFont val="Tahoma"/>
            <family val="2"/>
          </rPr>
          <t xml:space="preserve">User can add all fte info on one line or insert more lines and copy formula down for longer lists of individual staff
</t>
        </r>
      </text>
    </comment>
    <comment ref="B20" authorId="1">
      <text>
        <r>
          <rPr>
            <sz val="9"/>
            <color indexed="81"/>
            <rFont val="Tahoma"/>
            <family val="2"/>
          </rPr>
          <t xml:space="preserve">copy formula in columns H-N when inserting new rows.
</t>
        </r>
      </text>
    </comment>
    <comment ref="B28" authorId="1">
      <text>
        <r>
          <rPr>
            <sz val="9"/>
            <color indexed="81"/>
            <rFont val="Tahoma"/>
            <family val="2"/>
          </rPr>
          <t xml:space="preserve">copy formula in columns H-N when inserting new rows.
</t>
        </r>
      </text>
    </comment>
    <comment ref="B36" authorId="1">
      <text>
        <r>
          <rPr>
            <sz val="9"/>
            <color indexed="81"/>
            <rFont val="Tahoma"/>
            <family val="2"/>
          </rPr>
          <t xml:space="preserve">copy formula in columns H-N when inserting new rows.
</t>
        </r>
      </text>
    </comment>
    <comment ref="B44" authorId="1">
      <text>
        <r>
          <rPr>
            <sz val="9"/>
            <color indexed="81"/>
            <rFont val="Tahoma"/>
            <family val="2"/>
          </rPr>
          <t xml:space="preserve">copy formula in columns H-N when inserting new rows.
</t>
        </r>
      </text>
    </comment>
    <comment ref="B52" authorId="1">
      <text>
        <r>
          <rPr>
            <sz val="9"/>
            <color indexed="81"/>
            <rFont val="Tahoma"/>
            <family val="2"/>
          </rPr>
          <t xml:space="preserve">copy formula in columns H-N when inserting new rows.
</t>
        </r>
      </text>
    </comment>
    <comment ref="B60" authorId="1">
      <text>
        <r>
          <rPr>
            <sz val="9"/>
            <color indexed="81"/>
            <rFont val="Tahoma"/>
            <family val="2"/>
          </rPr>
          <t xml:space="preserve">copy formula in columns H-N when inserting new rows.
</t>
        </r>
      </text>
    </comment>
    <comment ref="B68" authorId="1">
      <text>
        <r>
          <rPr>
            <sz val="9"/>
            <color indexed="81"/>
            <rFont val="Tahoma"/>
            <family val="2"/>
          </rPr>
          <t xml:space="preserve">copy formula in columns H-N when inserting new rows.
</t>
        </r>
      </text>
    </comment>
    <comment ref="B76" authorId="1">
      <text>
        <r>
          <rPr>
            <sz val="9"/>
            <color indexed="81"/>
            <rFont val="Tahoma"/>
            <family val="2"/>
          </rPr>
          <t xml:space="preserve">copy formula in columns H-N when inserting new rows.
</t>
        </r>
      </text>
    </comment>
    <comment ref="B84" authorId="1">
      <text>
        <r>
          <rPr>
            <sz val="9"/>
            <color indexed="81"/>
            <rFont val="Tahoma"/>
            <family val="2"/>
          </rPr>
          <t xml:space="preserve">copy formula in columns H-N when inserting new rows.
</t>
        </r>
      </text>
    </comment>
    <comment ref="B92" authorId="1">
      <text>
        <r>
          <rPr>
            <sz val="9"/>
            <color indexed="81"/>
            <rFont val="Tahoma"/>
            <family val="2"/>
          </rPr>
          <t xml:space="preserve">copy formula in columns H-N when inserting new rows.
</t>
        </r>
      </text>
    </comment>
    <comment ref="B100" authorId="1">
      <text>
        <r>
          <rPr>
            <sz val="9"/>
            <color indexed="81"/>
            <rFont val="Tahoma"/>
            <family val="2"/>
          </rPr>
          <t xml:space="preserve">copy formula in columns H-N when inserting new rows.
</t>
        </r>
      </text>
    </comment>
    <comment ref="B108" authorId="1">
      <text>
        <r>
          <rPr>
            <sz val="9"/>
            <color indexed="81"/>
            <rFont val="Tahoma"/>
            <family val="2"/>
          </rPr>
          <t xml:space="preserve">copy formula in columns H-N when inserting new rows.
</t>
        </r>
      </text>
    </comment>
    <comment ref="B116" authorId="1">
      <text>
        <r>
          <rPr>
            <sz val="9"/>
            <color indexed="81"/>
            <rFont val="Tahoma"/>
            <family val="2"/>
          </rPr>
          <t xml:space="preserve">copy formula in columns H-N when inserting new rows.
</t>
        </r>
      </text>
    </comment>
    <comment ref="B124" authorId="1">
      <text>
        <r>
          <rPr>
            <sz val="9"/>
            <color indexed="81"/>
            <rFont val="Tahoma"/>
            <family val="2"/>
          </rPr>
          <t xml:space="preserve">copy formula in columns H-N when inserting new rows.
</t>
        </r>
      </text>
    </comment>
    <comment ref="B132" authorId="1">
      <text>
        <r>
          <rPr>
            <sz val="9"/>
            <color indexed="81"/>
            <rFont val="Tahoma"/>
            <family val="2"/>
          </rPr>
          <t xml:space="preserve">copy formula in columns H-N when inserting new rows.
</t>
        </r>
      </text>
    </comment>
  </commentList>
</comments>
</file>

<file path=xl/comments2.xml><?xml version="1.0" encoding="utf-8"?>
<comments xmlns="http://schemas.openxmlformats.org/spreadsheetml/2006/main">
  <authors>
    <author>glenn</author>
  </authors>
  <commentList>
    <comment ref="B13" authorId="0">
      <text>
        <r>
          <rPr>
            <sz val="9"/>
            <color indexed="81"/>
            <rFont val="Tahoma"/>
            <family val="2"/>
          </rPr>
          <t xml:space="preserve">User can add all fte info on one line or insert more lines and copy formula down for longer lists of individual staff
</t>
        </r>
      </text>
    </comment>
    <comment ref="B18" authorId="0">
      <text>
        <r>
          <rPr>
            <sz val="9"/>
            <color indexed="81"/>
            <rFont val="Tahoma"/>
            <family val="2"/>
          </rPr>
          <t xml:space="preserve">copy formula in columns H-N when inserting new rows.
</t>
        </r>
      </text>
    </comment>
    <comment ref="B26" authorId="0">
      <text>
        <r>
          <rPr>
            <sz val="9"/>
            <color indexed="81"/>
            <rFont val="Tahoma"/>
            <family val="2"/>
          </rPr>
          <t xml:space="preserve">copy formula in columns H-N when inserting new rows.
</t>
        </r>
      </text>
    </comment>
    <comment ref="B34" authorId="0">
      <text>
        <r>
          <rPr>
            <sz val="9"/>
            <color indexed="81"/>
            <rFont val="Tahoma"/>
            <family val="2"/>
          </rPr>
          <t xml:space="preserve">copy formula in columns H-N when inserting new rows.
</t>
        </r>
      </text>
    </comment>
    <comment ref="B42" authorId="0">
      <text>
        <r>
          <rPr>
            <sz val="9"/>
            <color indexed="81"/>
            <rFont val="Tahoma"/>
            <family val="2"/>
          </rPr>
          <t xml:space="preserve">copy formula in columns H-N when inserting new rows.
</t>
        </r>
      </text>
    </comment>
    <comment ref="B50" authorId="0">
      <text>
        <r>
          <rPr>
            <sz val="9"/>
            <color indexed="81"/>
            <rFont val="Tahoma"/>
            <family val="2"/>
          </rPr>
          <t xml:space="preserve">copy formula in columns H-N when inserting new rows.
</t>
        </r>
      </text>
    </comment>
    <comment ref="B58" authorId="0">
      <text>
        <r>
          <rPr>
            <sz val="9"/>
            <color indexed="81"/>
            <rFont val="Tahoma"/>
            <family val="2"/>
          </rPr>
          <t xml:space="preserve">copy formula in columns H-N when inserting new rows.
</t>
        </r>
      </text>
    </comment>
    <comment ref="B66" authorId="0">
      <text>
        <r>
          <rPr>
            <sz val="9"/>
            <color indexed="81"/>
            <rFont val="Tahoma"/>
            <family val="2"/>
          </rPr>
          <t xml:space="preserve">copy formula in columns H-N when inserting new rows.
</t>
        </r>
      </text>
    </comment>
    <comment ref="B74" authorId="0">
      <text>
        <r>
          <rPr>
            <sz val="9"/>
            <color indexed="81"/>
            <rFont val="Tahoma"/>
            <family val="2"/>
          </rPr>
          <t xml:space="preserve">copy formula in columns H-N when inserting new rows.
</t>
        </r>
      </text>
    </comment>
    <comment ref="B82" authorId="0">
      <text>
        <r>
          <rPr>
            <sz val="9"/>
            <color indexed="81"/>
            <rFont val="Tahoma"/>
            <family val="2"/>
          </rPr>
          <t xml:space="preserve">copy formula in columns H-N when inserting new rows.
</t>
        </r>
      </text>
    </comment>
    <comment ref="B90" authorId="0">
      <text>
        <r>
          <rPr>
            <sz val="9"/>
            <color indexed="81"/>
            <rFont val="Tahoma"/>
            <family val="2"/>
          </rPr>
          <t xml:space="preserve">copy formula in columns H-N when inserting new rows.
</t>
        </r>
      </text>
    </comment>
    <comment ref="B98" authorId="0">
      <text>
        <r>
          <rPr>
            <sz val="9"/>
            <color indexed="81"/>
            <rFont val="Tahoma"/>
            <family val="2"/>
          </rPr>
          <t xml:space="preserve">copy formula in columns H-N when inserting new rows.
</t>
        </r>
      </text>
    </comment>
    <comment ref="B106" authorId="0">
      <text>
        <r>
          <rPr>
            <sz val="9"/>
            <color indexed="81"/>
            <rFont val="Tahoma"/>
            <family val="2"/>
          </rPr>
          <t xml:space="preserve">copy formula in columns H-N when inserting new rows.
</t>
        </r>
      </text>
    </comment>
    <comment ref="B114" authorId="0">
      <text>
        <r>
          <rPr>
            <sz val="9"/>
            <color indexed="81"/>
            <rFont val="Tahoma"/>
            <family val="2"/>
          </rPr>
          <t xml:space="preserve">copy formula in columns H-N when inserting new rows.
</t>
        </r>
      </text>
    </comment>
    <comment ref="B122" authorId="0">
      <text>
        <r>
          <rPr>
            <sz val="9"/>
            <color indexed="81"/>
            <rFont val="Tahoma"/>
            <family val="2"/>
          </rPr>
          <t xml:space="preserve">copy formula in columns H-N when inserting new rows.
</t>
        </r>
      </text>
    </comment>
    <comment ref="B130" authorId="0">
      <text>
        <r>
          <rPr>
            <sz val="9"/>
            <color indexed="81"/>
            <rFont val="Tahoma"/>
            <family val="2"/>
          </rPr>
          <t xml:space="preserve">copy formula in columns H-N when inserting new rows.
</t>
        </r>
      </text>
    </comment>
  </commentList>
</comments>
</file>

<file path=xl/comments3.xml><?xml version="1.0" encoding="utf-8"?>
<comments xmlns="http://schemas.openxmlformats.org/spreadsheetml/2006/main">
  <authors>
    <author>Gene Aronowitz</author>
  </authors>
  <commentList>
    <comment ref="B6" authorId="0">
      <text>
        <r>
          <rPr>
            <sz val="8"/>
            <color indexed="81"/>
            <rFont val="Tahoma"/>
            <family val="2"/>
          </rPr>
          <t>List positions included in the Clinic budget - not allocated as a part of Agency Administration and Overhead (A&amp;OH)</t>
        </r>
      </text>
    </comment>
  </commentList>
</comments>
</file>

<file path=xl/comments4.xml><?xml version="1.0" encoding="utf-8"?>
<comments xmlns="http://schemas.openxmlformats.org/spreadsheetml/2006/main">
  <authors>
    <author>James Monfort</author>
  </authors>
  <commentList>
    <comment ref="C16" authorId="0">
      <text>
        <r>
          <rPr>
            <b/>
            <sz val="9"/>
            <color indexed="81"/>
            <rFont val="Tahoma"/>
            <family val="2"/>
          </rPr>
          <t>Work Week x 52 weeks x % of Billable Hrs to Paid Hrs.</t>
        </r>
      </text>
    </comment>
  </commentList>
</comments>
</file>

<file path=xl/comments5.xml><?xml version="1.0" encoding="utf-8"?>
<comments xmlns="http://schemas.openxmlformats.org/spreadsheetml/2006/main">
  <authors>
    <author>James Monfort</author>
  </authors>
  <commentList>
    <comment ref="C15" authorId="0">
      <text>
        <r>
          <rPr>
            <b/>
            <sz val="9"/>
            <color indexed="81"/>
            <rFont val="Tahoma"/>
            <family val="2"/>
          </rPr>
          <t>Work Week x 52 weeks x % of Billable Hrs to Paid Hrs.</t>
        </r>
      </text>
    </comment>
  </commentList>
</comments>
</file>

<file path=xl/comments6.xml><?xml version="1.0" encoding="utf-8"?>
<comments xmlns="http://schemas.openxmlformats.org/spreadsheetml/2006/main">
  <authors>
    <author>glenn</author>
    <author>Gwen Diamond</author>
    <author>jmonfort</author>
    <author>David E. Wawrzynek</author>
  </authors>
  <commentList>
    <comment ref="B6" authorId="0">
      <text>
        <r>
          <rPr>
            <b/>
            <sz val="9"/>
            <color indexed="81"/>
            <rFont val="Tahoma"/>
            <family val="2"/>
          </rPr>
          <t>Payment for Full procedures will be phased-in at 100% of CPT value in Year 1.
Payment for Blended procedures will be phased-in at 25% for Year 1, 50% for Year 2, 75% for Year 3 and 100% in Year 4.</t>
        </r>
        <r>
          <rPr>
            <sz val="9"/>
            <color indexed="81"/>
            <rFont val="Tahoma"/>
            <family val="2"/>
          </rPr>
          <t xml:space="preserve">
</t>
        </r>
      </text>
    </comment>
    <comment ref="C6" authorId="0">
      <text>
        <r>
          <rPr>
            <b/>
            <sz val="9"/>
            <color indexed="81"/>
            <rFont val="Tahoma"/>
            <family val="2"/>
          </rPr>
          <t>Comments reflect APG standard service description</t>
        </r>
        <r>
          <rPr>
            <sz val="9"/>
            <color indexed="81"/>
            <rFont val="Tahoma"/>
            <family val="2"/>
          </rPr>
          <t xml:space="preserve">
</t>
        </r>
      </text>
    </comment>
    <comment ref="C8" authorId="1">
      <text>
        <r>
          <rPr>
            <b/>
            <sz val="9"/>
            <color indexed="81"/>
            <rFont val="Tahoma"/>
            <family val="2"/>
          </rPr>
          <t>Mental Hygiene Assessment</t>
        </r>
      </text>
    </comment>
    <comment ref="E8" authorId="0">
      <text>
        <r>
          <rPr>
            <b/>
            <sz val="9"/>
            <color indexed="81"/>
            <rFont val="Tahoma"/>
            <family val="2"/>
          </rPr>
          <t>This rvice may be provided to the client and/or collateral.</t>
        </r>
        <r>
          <rPr>
            <sz val="9"/>
            <color indexed="81"/>
            <rFont val="Tahoma"/>
            <family val="2"/>
          </rPr>
          <t xml:space="preserve">
</t>
        </r>
        <r>
          <rPr>
            <b/>
            <sz val="9"/>
            <color indexed="81"/>
            <rFont val="Tahoma"/>
            <family val="2"/>
          </rPr>
          <t>Sessions less than 45 minutes will not be reimbursed by Medicaid.</t>
        </r>
      </text>
    </comment>
    <comment ref="E9" authorId="0">
      <text>
        <r>
          <rPr>
            <b/>
            <sz val="9"/>
            <color indexed="81"/>
            <rFont val="Tahoma"/>
            <family val="2"/>
          </rPr>
          <t>This service must be provided by a physician or NPP. This code may not be claimed on the same day as an E&amp;M code. 45 minute monimum</t>
        </r>
      </text>
    </comment>
    <comment ref="E10" authorId="0">
      <text>
        <r>
          <rPr>
            <b/>
            <sz val="9"/>
            <color indexed="81"/>
            <rFont val="Tahoma"/>
            <family val="2"/>
          </rPr>
          <t>99201-99205 New Patient, 
99212-99215 Established Patient</t>
        </r>
        <r>
          <rPr>
            <sz val="9"/>
            <color indexed="81"/>
            <rFont val="Tahoma"/>
            <family val="2"/>
          </rPr>
          <t xml:space="preserve">
</t>
        </r>
      </text>
    </comment>
    <comment ref="F10" authorId="0">
      <text>
        <r>
          <rPr>
            <b/>
            <sz val="9"/>
            <color indexed="81"/>
            <rFont val="Tahoma"/>
            <family val="2"/>
          </rPr>
          <t>Default weight value.  Calculate a custom weight for your clinic.</t>
        </r>
        <r>
          <rPr>
            <sz val="9"/>
            <color indexed="81"/>
            <rFont val="Tahoma"/>
            <family val="2"/>
          </rPr>
          <t xml:space="preserve">
</t>
        </r>
      </text>
    </comment>
    <comment ref="C12" authorId="1">
      <text>
        <r>
          <rPr>
            <b/>
            <sz val="9"/>
            <color indexed="81"/>
            <rFont val="Tahoma"/>
            <family val="2"/>
          </rPr>
          <t>Individual Comprehensive PsychotherapyMC</t>
        </r>
      </text>
    </comment>
    <comment ref="E12" authorId="0">
      <text>
        <r>
          <rPr>
            <b/>
            <sz val="9"/>
            <color indexed="81"/>
            <rFont val="Tahoma"/>
            <family val="2"/>
          </rPr>
          <t>99201-99205 New Patient, 
99212-99215 Established Patient</t>
        </r>
        <r>
          <rPr>
            <sz val="9"/>
            <color indexed="81"/>
            <rFont val="Tahoma"/>
            <family val="2"/>
          </rPr>
          <t xml:space="preserve">
</t>
        </r>
      </text>
    </comment>
    <comment ref="F12" authorId="0">
      <text>
        <r>
          <rPr>
            <b/>
            <sz val="9"/>
            <color indexed="81"/>
            <rFont val="Tahoma"/>
            <family val="2"/>
          </rPr>
          <t>Default weight value.  Calculate a custom weight for your clinic.</t>
        </r>
        <r>
          <rPr>
            <sz val="9"/>
            <color indexed="81"/>
            <rFont val="Tahoma"/>
            <family val="2"/>
          </rPr>
          <t xml:space="preserve">
</t>
        </r>
      </text>
    </comment>
    <comment ref="C13" authorId="0">
      <text>
        <r>
          <rPr>
            <b/>
            <sz val="9"/>
            <color indexed="81"/>
            <rFont val="Tahoma"/>
            <family val="2"/>
          </rPr>
          <t>APG is based on diagnosis (see descriptions for APG codes 820-831 on 'Consult Wt' tab)</t>
        </r>
        <r>
          <rPr>
            <sz val="9"/>
            <color indexed="81"/>
            <rFont val="Tahoma"/>
            <family val="2"/>
          </rPr>
          <t xml:space="preserve">
</t>
        </r>
      </text>
    </comment>
    <comment ref="D13" authorId="0">
      <text>
        <r>
          <rPr>
            <b/>
            <sz val="9"/>
            <color indexed="81"/>
            <rFont val="Tahoma"/>
            <family val="2"/>
          </rPr>
          <t>30 minute minimum for CPT codes 99201,99202,99203,99212,99213,99214</t>
        </r>
        <r>
          <rPr>
            <sz val="9"/>
            <color indexed="81"/>
            <rFont val="Tahoma"/>
            <family val="2"/>
          </rPr>
          <t xml:space="preserve">
</t>
        </r>
      </text>
    </comment>
    <comment ref="E13" authorId="0">
      <text>
        <r>
          <rPr>
            <b/>
            <sz val="9"/>
            <color indexed="81"/>
            <rFont val="Tahoma"/>
            <family val="2"/>
          </rPr>
          <t>99201-99205 New Patient, 
99212-99215 Established Patient</t>
        </r>
        <r>
          <rPr>
            <sz val="9"/>
            <color indexed="81"/>
            <rFont val="Tahoma"/>
            <family val="2"/>
          </rPr>
          <t xml:space="preserve">
</t>
        </r>
      </text>
    </comment>
    <comment ref="F13" authorId="0">
      <text>
        <r>
          <rPr>
            <b/>
            <sz val="9"/>
            <color indexed="81"/>
            <rFont val="Tahoma"/>
            <family val="2"/>
          </rPr>
          <t>Default weight value.  Calculate a custom weight for your clinic.</t>
        </r>
        <r>
          <rPr>
            <sz val="9"/>
            <color indexed="81"/>
            <rFont val="Tahoma"/>
            <family val="2"/>
          </rPr>
          <t xml:space="preserve">
</t>
        </r>
      </text>
    </comment>
    <comment ref="C14" authorId="0">
      <text>
        <r>
          <rPr>
            <b/>
            <sz val="9"/>
            <color indexed="81"/>
            <rFont val="Tahoma"/>
            <family val="2"/>
          </rPr>
          <t>APG is based on diagnosis (see descriptions for APG codes 820-831 on 'Consult Wt' tab)</t>
        </r>
        <r>
          <rPr>
            <sz val="9"/>
            <color indexed="81"/>
            <rFont val="Tahoma"/>
            <family val="2"/>
          </rPr>
          <t xml:space="preserve">
</t>
        </r>
      </text>
    </comment>
    <comment ref="D14" authorId="0">
      <text>
        <r>
          <rPr>
            <b/>
            <sz val="9"/>
            <color indexed="81"/>
            <rFont val="Tahoma"/>
            <family val="2"/>
          </rPr>
          <t>30 minute minimum for CPT codes 99201,99202,9203,99212,99213,99214</t>
        </r>
        <r>
          <rPr>
            <sz val="9"/>
            <color indexed="81"/>
            <rFont val="Tahoma"/>
            <family val="2"/>
          </rPr>
          <t xml:space="preserve">
</t>
        </r>
      </text>
    </comment>
    <comment ref="E14" authorId="0">
      <text>
        <r>
          <rPr>
            <b/>
            <sz val="9"/>
            <color indexed="81"/>
            <rFont val="Tahoma"/>
            <family val="2"/>
          </rPr>
          <t>99201-99205 New Patient, 
99212-99215 Established Patient</t>
        </r>
        <r>
          <rPr>
            <sz val="9"/>
            <color indexed="81"/>
            <rFont val="Tahoma"/>
            <family val="2"/>
          </rPr>
          <t xml:space="preserve">
</t>
        </r>
      </text>
    </comment>
    <comment ref="F14" authorId="0">
      <text>
        <r>
          <rPr>
            <b/>
            <sz val="9"/>
            <color indexed="81"/>
            <rFont val="Tahoma"/>
            <family val="2"/>
          </rPr>
          <t>Default weight value.  Calculate a custom weight for your clinic.</t>
        </r>
        <r>
          <rPr>
            <sz val="9"/>
            <color indexed="81"/>
            <rFont val="Tahoma"/>
            <family val="2"/>
          </rPr>
          <t xml:space="preserve">
</t>
        </r>
      </text>
    </comment>
    <comment ref="C15" authorId="1">
      <text>
        <r>
          <rPr>
            <b/>
            <sz val="9"/>
            <color indexed="81"/>
            <rFont val="Tahoma"/>
            <family val="2"/>
          </rPr>
          <t>Crisis Intervention</t>
        </r>
      </text>
    </comment>
    <comment ref="D15" authorId="2">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E15" authorId="2">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16" authorId="1">
      <text>
        <r>
          <rPr>
            <b/>
            <sz val="9"/>
            <color indexed="81"/>
            <rFont val="Tahoma"/>
            <family val="2"/>
          </rPr>
          <t>Crisis Intervention</t>
        </r>
      </text>
    </comment>
    <comment ref="E16" authorId="2">
      <text>
        <r>
          <rPr>
            <b/>
            <sz val="9"/>
            <color indexed="81"/>
            <rFont val="Tahoma"/>
            <family val="2"/>
          </rPr>
          <t xml:space="preserve">Crisis intervention mental health services, per diem (1-3 hours). Requires a minimum of one hour of face-to-face contact by two or more clinicians.
</t>
        </r>
      </text>
    </comment>
    <comment ref="C17" authorId="1">
      <text>
        <r>
          <rPr>
            <b/>
            <sz val="9"/>
            <color indexed="81"/>
            <rFont val="Tahoma"/>
            <family val="2"/>
          </rPr>
          <t>Full day partial hospitalization for mental illness</t>
        </r>
      </text>
    </comment>
    <comment ref="E17" authorId="2">
      <text>
        <r>
          <rPr>
            <b/>
            <sz val="9"/>
            <color indexed="81"/>
            <rFont val="Tahoma"/>
            <family val="2"/>
          </rPr>
          <t>Crisis intervention, mental health services, per diem. Requires a minimum 3 or more hours of face-to-face contact by two or more clinicians</t>
        </r>
        <r>
          <rPr>
            <sz val="9"/>
            <color indexed="81"/>
            <rFont val="Tahoma"/>
            <family val="2"/>
          </rPr>
          <t xml:space="preserve">
</t>
        </r>
      </text>
    </comment>
    <comment ref="C18" authorId="1">
      <text>
        <r>
          <rPr>
            <b/>
            <sz val="9"/>
            <color indexed="81"/>
            <rFont val="Tahoma"/>
            <family val="2"/>
          </rPr>
          <t>Incidental to Medical, Significant Procedure or Therapy Visit</t>
        </r>
      </text>
    </comment>
    <comment ref="E18" authorId="2">
      <text>
        <r>
          <rPr>
            <b/>
            <sz val="9"/>
            <color indexed="81"/>
            <rFont val="Tahoma"/>
            <family val="2"/>
          </rPr>
          <t>Comprehensive Medication Services. 15 minute minimum time.
This code encompasses both the injection and the visit.</t>
        </r>
        <r>
          <rPr>
            <sz val="9"/>
            <color indexed="81"/>
            <rFont val="Tahoma"/>
            <family val="2"/>
          </rPr>
          <t xml:space="preserve">
</t>
        </r>
      </text>
    </comment>
    <comment ref="D19" authorId="0">
      <text>
        <r>
          <rPr>
            <b/>
            <sz val="9"/>
            <color indexed="81"/>
            <rFont val="Tahoma"/>
            <family val="2"/>
          </rPr>
          <t xml:space="preserve">Injection Only -  when medication obtained with cost to clinic
Medicaid fee schedule claim, J Code, CPT 96372
Payment for drug cost and $13.23 for Injection
No modifiers available
</t>
        </r>
        <r>
          <rPr>
            <sz val="9"/>
            <color indexed="81"/>
            <rFont val="Tahoma"/>
            <family val="2"/>
          </rPr>
          <t xml:space="preserve">
</t>
        </r>
      </text>
    </comment>
    <comment ref="D20" authorId="0">
      <text>
        <r>
          <rPr>
            <b/>
            <sz val="9"/>
            <color indexed="81"/>
            <rFont val="Tahoma"/>
            <family val="2"/>
          </rPr>
          <t xml:space="preserve">Injection Only -  when medication is obtained without cost to clinic
J Code for drug with FB Modifier on APG claim, payment value $13.23 for Injection Only.  The FB modifier indicates that the drug was administered but the clinic did not pay for the drug.
No time limit, no changes in staff requirements
Language other than English modifier (U4) not available.  
</t>
        </r>
        <r>
          <rPr>
            <sz val="9"/>
            <color indexed="81"/>
            <rFont val="Tahoma"/>
            <family val="2"/>
          </rPr>
          <t xml:space="preserve">
</t>
        </r>
      </text>
    </comment>
    <comment ref="C21" authorId="1">
      <text>
        <r>
          <rPr>
            <b/>
            <sz val="9"/>
            <color indexed="81"/>
            <rFont val="Tahoma"/>
            <family val="2"/>
          </rPr>
          <t>Psychotropic Medication Management</t>
        </r>
      </text>
    </comment>
    <comment ref="E21" authorId="0">
      <text>
        <r>
          <rPr>
            <b/>
            <sz val="9"/>
            <color indexed="81"/>
            <rFont val="Tahoma"/>
            <family val="2"/>
          </rPr>
          <t>99201-99205 New Patient, 
99212-99215 Established Patient</t>
        </r>
        <r>
          <rPr>
            <sz val="9"/>
            <color indexed="81"/>
            <rFont val="Tahoma"/>
            <family val="2"/>
          </rPr>
          <t xml:space="preserve">
</t>
        </r>
      </text>
    </comment>
    <comment ref="F21" authorId="0">
      <text>
        <r>
          <rPr>
            <b/>
            <sz val="9"/>
            <color indexed="81"/>
            <rFont val="Tahoma"/>
            <family val="2"/>
          </rPr>
          <t>Default weight value.  Calculate a custom weight for your clinic.</t>
        </r>
        <r>
          <rPr>
            <sz val="9"/>
            <color indexed="81"/>
            <rFont val="Tahoma"/>
            <family val="2"/>
          </rPr>
          <t xml:space="preserve">
</t>
        </r>
      </text>
    </comment>
    <comment ref="E22" authorId="0">
      <text>
        <r>
          <rPr>
            <b/>
            <sz val="9"/>
            <color indexed="81"/>
            <rFont val="Tahoma"/>
            <family val="2"/>
          </rPr>
          <t xml:space="preserve">Including prescription, use, and review of medication with no more than minimal medical psychotherapy.  15 minute minimum.   </t>
        </r>
      </text>
    </comment>
    <comment ref="C23" authorId="1">
      <text>
        <r>
          <rPr>
            <b/>
            <sz val="9"/>
            <color indexed="81"/>
            <rFont val="Tahoma"/>
            <family val="2"/>
          </rPr>
          <t>Counseling or individual brief psychotherapy</t>
        </r>
      </text>
    </comment>
    <comment ref="E23" authorId="2">
      <text>
        <r>
          <rPr>
            <b/>
            <sz val="9"/>
            <color indexed="81"/>
            <rFont val="Tahoma"/>
            <family val="2"/>
          </rPr>
          <t xml:space="preserve">Individual psychotherapy, insight oriented, behavior modifying and/or supportive, in an office or outpatient facility, minimum duration for Medicaid reimbursement is 30 minutes of face-to-face with the patient.
</t>
        </r>
      </text>
    </comment>
    <comment ref="C24" authorId="1">
      <text>
        <r>
          <rPr>
            <b/>
            <sz val="9"/>
            <color indexed="81"/>
            <rFont val="Tahoma"/>
            <family val="2"/>
          </rPr>
          <t>Individual Comprehensive Psychotherapy</t>
        </r>
      </text>
    </comment>
    <comment ref="E24" authorId="2">
      <text>
        <r>
          <rPr>
            <b/>
            <sz val="9"/>
            <color indexed="81"/>
            <rFont val="Tahoma"/>
            <family val="2"/>
          </rPr>
          <t>Individual psychotherapy, insight oriented, behavior modifying and/or supportive, in an office or outpatient facility, minimum duration for Medicaid reimbursement is 45 minutes of face-to- face with the patient.</t>
        </r>
      </text>
    </comment>
    <comment ref="C25" authorId="1">
      <text>
        <r>
          <rPr>
            <b/>
            <sz val="9"/>
            <color indexed="81"/>
            <rFont val="Tahoma"/>
            <family val="2"/>
          </rPr>
          <t>Family Psychotherapy</t>
        </r>
      </text>
    </comment>
    <comment ref="E25" authorId="2">
      <text>
        <r>
          <rPr>
            <b/>
            <sz val="9"/>
            <color indexed="81"/>
            <rFont val="Tahoma"/>
            <family val="2"/>
          </rPr>
          <t>Family psychotherapy (without the patient present), minimum duration for Medicaid reimbursement is 30 minutes.</t>
        </r>
      </text>
    </comment>
    <comment ref="C26" authorId="1">
      <text>
        <r>
          <rPr>
            <b/>
            <sz val="9"/>
            <color indexed="81"/>
            <rFont val="Tahoma"/>
            <family val="2"/>
          </rPr>
          <t>Family Psychotherapy</t>
        </r>
      </text>
    </comment>
    <comment ref="E26" authorId="2">
      <text>
        <r>
          <rPr>
            <b/>
            <sz val="9"/>
            <color indexed="81"/>
            <rFont val="Tahoma"/>
            <family val="2"/>
          </rPr>
          <t>Family psychotherapy (conjoint psychotherapy) with patient present, minimum duration for Medicaid reimbursement is 1 hour.</t>
        </r>
      </text>
    </comment>
    <comment ref="C27" authorId="1">
      <text>
        <r>
          <rPr>
            <b/>
            <sz val="9"/>
            <color indexed="81"/>
            <rFont val="Tahoma"/>
            <family val="2"/>
          </rPr>
          <t>Group Psychotherapy</t>
        </r>
      </text>
    </comment>
    <comment ref="E27" authorId="2">
      <text>
        <r>
          <rPr>
            <b/>
            <sz val="9"/>
            <color indexed="81"/>
            <rFont val="Tahoma"/>
            <family val="2"/>
          </rPr>
          <t>Multiple-family group psychotherapy, minimum duration for Medicaid reimbursement of 1 hour.</t>
        </r>
      </text>
    </comment>
    <comment ref="C28" authorId="1">
      <text>
        <r>
          <rPr>
            <b/>
            <sz val="9"/>
            <color indexed="81"/>
            <rFont val="Tahoma"/>
            <family val="2"/>
          </rPr>
          <t>Group Psychotherapy</t>
        </r>
      </text>
    </comment>
    <comment ref="E28" authorId="2">
      <text>
        <r>
          <rPr>
            <b/>
            <sz val="9"/>
            <color indexed="81"/>
            <rFont val="Tahoma"/>
            <family val="2"/>
          </rPr>
          <t>Group psychotherapy (other than of a multiple-family group), minimum duration for Medicaid reimbursement of 1 hour.</t>
        </r>
      </text>
    </comment>
    <comment ref="E29" authorId="0">
      <text>
        <r>
          <rPr>
            <b/>
            <sz val="9"/>
            <color indexed="81"/>
            <rFont val="Tahoma"/>
            <family val="2"/>
          </rPr>
          <t xml:space="preserve">School based group psychotherapy, less than one hour.
</t>
        </r>
      </text>
    </comment>
    <comment ref="F29" authorId="0">
      <text>
        <r>
          <rPr>
            <b/>
            <sz val="9"/>
            <color indexed="81"/>
            <rFont val="Tahoma"/>
            <family val="2"/>
          </rPr>
          <t>School based U5 modifier; 30% less than 60 minute group session</t>
        </r>
        <r>
          <rPr>
            <sz val="9"/>
            <color indexed="81"/>
            <rFont val="Tahoma"/>
            <family val="2"/>
          </rPr>
          <t xml:space="preserve">.
</t>
        </r>
      </text>
    </comment>
    <comment ref="C30" authorId="1">
      <text>
        <r>
          <rPr>
            <b/>
            <sz val="9"/>
            <color indexed="81"/>
            <rFont val="Tahoma"/>
            <family val="2"/>
          </rPr>
          <t>Developmental and Neuropsychological Testing</t>
        </r>
      </text>
    </comment>
    <comment ref="E30" authorId="2">
      <text>
        <r>
          <rPr>
            <b/>
            <sz val="9"/>
            <color indexed="81"/>
            <rFont val="Tahoma"/>
            <family val="2"/>
          </rPr>
          <t>Developmental Testing on a limited basis.</t>
        </r>
      </text>
    </comment>
    <comment ref="C31" authorId="1">
      <text>
        <r>
          <rPr>
            <b/>
            <sz val="9"/>
            <color indexed="81"/>
            <rFont val="Tahoma"/>
            <family val="2"/>
          </rPr>
          <t>Developmental and Neuropsychological Testing</t>
        </r>
      </text>
    </comment>
    <comment ref="E31" authorId="2">
      <text>
        <r>
          <rPr>
            <b/>
            <sz val="9"/>
            <color indexed="81"/>
            <rFont val="Tahoma"/>
            <family val="2"/>
          </rPr>
          <t>Developmental Testing on a extended basis.</t>
        </r>
      </text>
    </comment>
    <comment ref="C32" authorId="1">
      <text>
        <r>
          <rPr>
            <b/>
            <sz val="9"/>
            <color indexed="81"/>
            <rFont val="Tahoma"/>
            <family val="2"/>
          </rPr>
          <t>Developmental and Neuropsychological Testing</t>
        </r>
      </text>
    </comment>
    <comment ref="E32" authorId="2">
      <text>
        <r>
          <rPr>
            <b/>
            <sz val="9"/>
            <color indexed="81"/>
            <rFont val="Tahoma"/>
            <family val="2"/>
          </rPr>
          <t>Psychological Testing by Psych and Physicians</t>
        </r>
      </text>
    </comment>
    <comment ref="C33" authorId="1">
      <text>
        <r>
          <rPr>
            <b/>
            <sz val="9"/>
            <color indexed="81"/>
            <rFont val="Tahoma"/>
            <family val="2"/>
          </rPr>
          <t>Developmental and Neuropsychological Testing</t>
        </r>
      </text>
    </comment>
    <comment ref="E33" authorId="2">
      <text>
        <r>
          <rPr>
            <b/>
            <sz val="9"/>
            <color indexed="81"/>
            <rFont val="Tahoma"/>
            <family val="2"/>
          </rPr>
          <t>Neurobehavioral status exam</t>
        </r>
      </text>
    </comment>
    <comment ref="C34" authorId="1">
      <text>
        <r>
          <rPr>
            <b/>
            <sz val="9"/>
            <color indexed="81"/>
            <rFont val="Tahoma"/>
            <family val="2"/>
          </rPr>
          <t>Developmental and Neuropsychological Testing</t>
        </r>
      </text>
    </comment>
    <comment ref="E34" authorId="2">
      <text>
        <r>
          <rPr>
            <b/>
            <sz val="9"/>
            <color indexed="81"/>
            <rFont val="Tahoma"/>
            <family val="2"/>
          </rPr>
          <t>Neurobehavioral Testing by Psych/Physicians</t>
        </r>
      </text>
    </comment>
    <comment ref="C35" authorId="1">
      <text>
        <r>
          <rPr>
            <b/>
            <sz val="9"/>
            <color indexed="81"/>
            <rFont val="Tahoma"/>
            <family val="2"/>
          </rPr>
          <t>Incidental to Medical, Significant Procedure or Therapy Visit</t>
        </r>
      </text>
    </comment>
    <comment ref="E35" authorId="2">
      <text>
        <r>
          <rPr>
            <b/>
            <sz val="9"/>
            <color indexed="81"/>
            <rFont val="Tahoma"/>
            <family val="2"/>
          </rPr>
          <t>Environmental intervention for medical management purposes on a psychiatric patient's behalf with agencies or institutions.</t>
        </r>
        <r>
          <rPr>
            <sz val="9"/>
            <color indexed="81"/>
            <rFont val="Tahoma"/>
            <family val="2"/>
          </rPr>
          <t xml:space="preserve">
</t>
        </r>
      </text>
    </comment>
    <comment ref="C36" authorId="0">
      <text>
        <r>
          <rPr>
            <b/>
            <sz val="9"/>
            <color indexed="81"/>
            <rFont val="Tahoma"/>
            <family val="2"/>
          </rPr>
          <t>APG is based on diagnosis (see descriptions for APG codes 820-831 on 'Consult Wt' tab)</t>
        </r>
        <r>
          <rPr>
            <sz val="9"/>
            <color indexed="81"/>
            <rFont val="Tahoma"/>
            <family val="2"/>
          </rPr>
          <t xml:space="preserve">
</t>
        </r>
      </text>
    </comment>
    <comment ref="E36" authorId="0">
      <text>
        <r>
          <rPr>
            <b/>
            <sz val="9"/>
            <color indexed="81"/>
            <rFont val="Tahoma"/>
            <family val="2"/>
          </rPr>
          <t>99382-99387 New Patient, 
99392-99397 Established Patient</t>
        </r>
        <r>
          <rPr>
            <sz val="9"/>
            <color indexed="81"/>
            <rFont val="Tahoma"/>
            <family val="2"/>
          </rPr>
          <t xml:space="preserve">
</t>
        </r>
      </text>
    </comment>
    <comment ref="F36" authorId="0">
      <text>
        <r>
          <rPr>
            <b/>
            <sz val="9"/>
            <color indexed="81"/>
            <rFont val="Tahoma"/>
            <family val="2"/>
          </rPr>
          <t>Default weight value.  Calculate a custom weight for your clinic.</t>
        </r>
        <r>
          <rPr>
            <sz val="9"/>
            <color indexed="81"/>
            <rFont val="Tahoma"/>
            <family val="2"/>
          </rPr>
          <t xml:space="preserve">
</t>
        </r>
      </text>
    </comment>
    <comment ref="C37" authorId="1">
      <text>
        <r>
          <rPr>
            <b/>
            <sz val="9"/>
            <color indexed="81"/>
            <rFont val="Tahoma"/>
            <family val="2"/>
          </rPr>
          <t>Incidental to Medical, Significant Procedure or Therapy Visit</t>
        </r>
      </text>
    </comment>
    <comment ref="C38" authorId="1">
      <text>
        <r>
          <rPr>
            <b/>
            <sz val="9"/>
            <color indexed="81"/>
            <rFont val="Tahoma"/>
            <family val="2"/>
          </rPr>
          <t>Incidental to Medical, Significant Procedure or Therapy Visit</t>
        </r>
      </text>
    </comment>
    <comment ref="C39" authorId="1">
      <text>
        <r>
          <rPr>
            <b/>
            <sz val="9"/>
            <color indexed="81"/>
            <rFont val="Tahoma"/>
            <family val="2"/>
          </rPr>
          <t>Incidental to Medical, Significant Procedure or Therapy Visit</t>
        </r>
      </text>
    </comment>
    <comment ref="C40" authorId="1">
      <text>
        <r>
          <rPr>
            <b/>
            <sz val="9"/>
            <color indexed="81"/>
            <rFont val="Tahoma"/>
            <family val="2"/>
          </rPr>
          <t>Incidental to Medical, Significant Procedure or Therapy Visit</t>
        </r>
      </text>
    </comment>
    <comment ref="C41" authorId="1">
      <text>
        <r>
          <rPr>
            <b/>
            <sz val="9"/>
            <color indexed="81"/>
            <rFont val="Tahoma"/>
            <family val="2"/>
          </rPr>
          <t>Incidental to Medical, Significant Procedure or Therapy Visit</t>
        </r>
      </text>
    </comment>
    <comment ref="C42" authorId="1">
      <text>
        <r>
          <rPr>
            <b/>
            <sz val="9"/>
            <color indexed="81"/>
            <rFont val="Tahoma"/>
            <family val="2"/>
          </rPr>
          <t>Incidental to Medical, Significant Procedure or Therapy Visit</t>
        </r>
      </text>
    </comment>
    <comment ref="F45" authorId="3">
      <text>
        <r>
          <rPr>
            <b/>
            <sz val="8"/>
            <color indexed="81"/>
            <rFont val="Tahoma"/>
            <family val="2"/>
          </rPr>
          <t>Approximate wt. per client</t>
        </r>
        <r>
          <rPr>
            <sz val="8"/>
            <color indexed="81"/>
            <rFont val="Tahoma"/>
            <family val="2"/>
          </rPr>
          <t xml:space="preserve">
</t>
        </r>
      </text>
    </comment>
  </commentList>
</comments>
</file>

<file path=xl/sharedStrings.xml><?xml version="1.0" encoding="utf-8"?>
<sst xmlns="http://schemas.openxmlformats.org/spreadsheetml/2006/main" count="869" uniqueCount="405">
  <si>
    <t>color code</t>
  </si>
  <si>
    <t xml:space="preserve"> - data linked to other schedules</t>
  </si>
  <si>
    <t xml:space="preserve"> - data generated by formula</t>
  </si>
  <si>
    <t xml:space="preserve"> </t>
  </si>
  <si>
    <t xml:space="preserve"> - data input on this schedule</t>
  </si>
  <si>
    <t>CFR Position Code</t>
  </si>
  <si>
    <t>Position Title</t>
  </si>
  <si>
    <t>FTEs</t>
  </si>
  <si>
    <t xml:space="preserve">Nurse Practitioner </t>
  </si>
  <si>
    <t>NP1</t>
  </si>
  <si>
    <t>NP2</t>
  </si>
  <si>
    <t>NP3</t>
  </si>
  <si>
    <t>NP4</t>
  </si>
  <si>
    <t>NP5</t>
  </si>
  <si>
    <t>End- Insert new rows before this line</t>
  </si>
  <si>
    <t xml:space="preserve">Licensed Practical Nurse </t>
  </si>
  <si>
    <t>LPN2</t>
  </si>
  <si>
    <t>LPN3</t>
  </si>
  <si>
    <t>LPN4</t>
  </si>
  <si>
    <t>LPN5</t>
  </si>
  <si>
    <t>Registered Nurse</t>
  </si>
  <si>
    <t>RN2</t>
  </si>
  <si>
    <t>RN3</t>
  </si>
  <si>
    <t>RN4</t>
  </si>
  <si>
    <t>RN5</t>
  </si>
  <si>
    <t>Psychiatrist</t>
  </si>
  <si>
    <t>Psyc MD1</t>
  </si>
  <si>
    <t>Psyc MD2</t>
  </si>
  <si>
    <t>Psyc MD3</t>
  </si>
  <si>
    <t>Psyc MD4</t>
  </si>
  <si>
    <t>Psyc MD5</t>
  </si>
  <si>
    <t>Physicians Assistant</t>
  </si>
  <si>
    <t>PA1</t>
  </si>
  <si>
    <t>PA2</t>
  </si>
  <si>
    <t>PA3</t>
  </si>
  <si>
    <t>PA4</t>
  </si>
  <si>
    <t>PA5</t>
  </si>
  <si>
    <t>Physician - MD</t>
  </si>
  <si>
    <t>MD1</t>
  </si>
  <si>
    <t>MD2</t>
  </si>
  <si>
    <t>MD3</t>
  </si>
  <si>
    <t>MD4</t>
  </si>
  <si>
    <t>MD5</t>
  </si>
  <si>
    <t>Psychologist - Licensed</t>
  </si>
  <si>
    <t>Psych - L1</t>
  </si>
  <si>
    <t>Psych - L2</t>
  </si>
  <si>
    <t>Psych - L3</t>
  </si>
  <si>
    <t>Psych - L4</t>
  </si>
  <si>
    <t>Psych - L5</t>
  </si>
  <si>
    <t>Psychologist - Masters/BH Specialist</t>
  </si>
  <si>
    <t>Psych - M1</t>
  </si>
  <si>
    <t>Psych - M2</t>
  </si>
  <si>
    <t>Psych - M3</t>
  </si>
  <si>
    <t>Psych - M4</t>
  </si>
  <si>
    <t>Psych - M5</t>
  </si>
  <si>
    <t>Psychology Worker/Other BH Worker</t>
  </si>
  <si>
    <t>Psych W1</t>
  </si>
  <si>
    <t>Psych W2</t>
  </si>
  <si>
    <t>Psych W3</t>
  </si>
  <si>
    <t>Psych W4</t>
  </si>
  <si>
    <t>Psych W5</t>
  </si>
  <si>
    <t>Social Worker-Licensed LMSW,LCSW</t>
  </si>
  <si>
    <t>SW L4</t>
  </si>
  <si>
    <t>SW L5</t>
  </si>
  <si>
    <t>Social Worker - Master's Level (MSW)</t>
  </si>
  <si>
    <t>SW M1</t>
  </si>
  <si>
    <t>SW M2</t>
  </si>
  <si>
    <t>SW M3</t>
  </si>
  <si>
    <t>SW M4</t>
  </si>
  <si>
    <t>SW M5</t>
  </si>
  <si>
    <t>New</t>
  </si>
  <si>
    <t>Licensed Mental Health Counselor (LMHC)</t>
  </si>
  <si>
    <t>LMHC1</t>
  </si>
  <si>
    <t>LMHC2</t>
  </si>
  <si>
    <t>LMHC3</t>
  </si>
  <si>
    <t>LMHC4</t>
  </si>
  <si>
    <t>LMHC5</t>
  </si>
  <si>
    <t>Licensed Marriage &amp; Family Therapist (LMFT)</t>
  </si>
  <si>
    <t>LMFT2</t>
  </si>
  <si>
    <t>LMFT3</t>
  </si>
  <si>
    <t>LMFT4</t>
  </si>
  <si>
    <t>LMFT5</t>
  </si>
  <si>
    <t>Licensed Creative Arts Therapist (LCAT)</t>
  </si>
  <si>
    <t>LCAT1</t>
  </si>
  <si>
    <t>LCAT2</t>
  </si>
  <si>
    <t>LCAT3</t>
  </si>
  <si>
    <t>LCAT4</t>
  </si>
  <si>
    <t>LCAT5</t>
  </si>
  <si>
    <t>Licensed Psychoanalyst</t>
  </si>
  <si>
    <t>LPSYCH1</t>
  </si>
  <si>
    <t>LPSYCH2</t>
  </si>
  <si>
    <t>LPSYCH3</t>
  </si>
  <si>
    <t>LPSYCH4</t>
  </si>
  <si>
    <t>LPSYCH5</t>
  </si>
  <si>
    <t>Non-Clinical Positions (List Titles)</t>
  </si>
  <si>
    <t>Clinic Director</t>
  </si>
  <si>
    <t>Billing Staff</t>
  </si>
  <si>
    <t>Direct Care FTE</t>
  </si>
  <si>
    <t>% Direct Care</t>
  </si>
  <si>
    <t>Salary</t>
  </si>
  <si>
    <t>FTE</t>
  </si>
  <si>
    <t>Cost</t>
  </si>
  <si>
    <t>Fringe Benefits</t>
  </si>
  <si>
    <t>Other Operating Expenses</t>
  </si>
  <si>
    <t>Equipment</t>
  </si>
  <si>
    <t>Rent</t>
  </si>
  <si>
    <t>Administrative overhead</t>
  </si>
  <si>
    <t>Direct Care Salary</t>
  </si>
  <si>
    <t>Indirect Care Salary</t>
  </si>
  <si>
    <t>Units per FTE</t>
  </si>
  <si>
    <t>Revenue Per billable</t>
  </si>
  <si>
    <t xml:space="preserve">  Medicaid</t>
  </si>
  <si>
    <t xml:space="preserve">  Medicaid Managed</t>
  </si>
  <si>
    <t xml:space="preserve">  3rd Party</t>
  </si>
  <si>
    <t xml:space="preserve">  Uncompensated</t>
  </si>
  <si>
    <t xml:space="preserve">  No Payment</t>
  </si>
  <si>
    <t xml:space="preserve">  Medicare</t>
  </si>
  <si>
    <t>Surplus/(Loss)</t>
  </si>
  <si>
    <t>MENTAL HEALTH OUTPATIENT CLINIC - APG SERVICE ILLUSTRATIONS</t>
  </si>
  <si>
    <t>Update:</t>
  </si>
  <si>
    <t>CPT SERVICES</t>
  </si>
  <si>
    <t>Blend/ Full Pay</t>
  </si>
  <si>
    <t>APG</t>
  </si>
  <si>
    <t>CPT Procedure - OMH Regulatory Name</t>
  </si>
  <si>
    <t>CPT  Codes</t>
  </si>
  <si>
    <t>Service Weight</t>
  </si>
  <si>
    <t>Blend</t>
  </si>
  <si>
    <t>Initial Assessment Diagnostic &amp; Treatment Plan</t>
  </si>
  <si>
    <t>Psychiatric Assessment - 30 mins</t>
  </si>
  <si>
    <t>Psychiatric Assessment - 45-50  mins</t>
  </si>
  <si>
    <t>Full</t>
  </si>
  <si>
    <t>820-831</t>
  </si>
  <si>
    <t>Psych Assessm - Alt Codes - New/Estab Patient</t>
  </si>
  <si>
    <t>Code Range</t>
  </si>
  <si>
    <t>Psychiatric Consultation - New/Estab Patient</t>
  </si>
  <si>
    <t>Crisis Intervention - 15 min</t>
  </si>
  <si>
    <t>H2011</t>
  </si>
  <si>
    <t>Crisis Intervention - per hour</t>
  </si>
  <si>
    <t>S9484</t>
  </si>
  <si>
    <t>Crisis Intervention - per diem</t>
  </si>
  <si>
    <t>S9485</t>
  </si>
  <si>
    <t>Injectable Med Admin with Monit &amp; Edu</t>
  </si>
  <si>
    <t>H2010</t>
  </si>
  <si>
    <t>Psychotherapy - Indiv 30 mins</t>
  </si>
  <si>
    <t>Psychotherapy - Indiv 45 mins</t>
  </si>
  <si>
    <t>Psychotherapy - Family 30 mins</t>
  </si>
  <si>
    <t>Psychotherapy - Family&amp;Client 1 hr</t>
  </si>
  <si>
    <t>Psychotherapy - Family Group 1hr</t>
  </si>
  <si>
    <t>Psychotherapy - Group 1 hr</t>
  </si>
  <si>
    <t>School Based - Group &lt;1 hr</t>
  </si>
  <si>
    <t>Developmental Testing - limited</t>
  </si>
  <si>
    <t>Developmental Testing - extended</t>
  </si>
  <si>
    <t>Psychological Testing - Various</t>
  </si>
  <si>
    <t>Psychological Testing - Neurobehavioral</t>
  </si>
  <si>
    <t>Complex Care Management - 15 mins</t>
  </si>
  <si>
    <t>Health Physicals - New/Estab Patient</t>
  </si>
  <si>
    <t>Health Monitoring - 15 mins</t>
  </si>
  <si>
    <t>Health Monitoring - 30 mins</t>
  </si>
  <si>
    <t>Health Monitoring - 45 mins</t>
  </si>
  <si>
    <t>Health Monitoring - 60 mins</t>
  </si>
  <si>
    <t>Health Monitoring Group - 30 mins</t>
  </si>
  <si>
    <t>Health Monitoring Group - 60 mins</t>
  </si>
  <si>
    <t>TOTALS</t>
  </si>
  <si>
    <t>Clinic Benchmark Model</t>
  </si>
  <si>
    <t>Indirect Care Costs</t>
  </si>
  <si>
    <t>Total Indirect Care Cost</t>
  </si>
  <si>
    <t>Work Week in hours</t>
  </si>
  <si>
    <t>Fringe Expense as % of gross pay</t>
  </si>
  <si>
    <t>% of billable hrs. to paid hrs.</t>
  </si>
  <si>
    <t>Service %</t>
  </si>
  <si>
    <t>CPT Units</t>
  </si>
  <si>
    <t>N</t>
  </si>
  <si>
    <t>LPN1</t>
  </si>
  <si>
    <t>Nurse</t>
  </si>
  <si>
    <t>Training Instructor</t>
  </si>
  <si>
    <t>QA Specialist</t>
  </si>
  <si>
    <t>Support Staff</t>
  </si>
  <si>
    <t>Admin Assistant</t>
  </si>
  <si>
    <t>Avg CPT wt:</t>
  </si>
  <si>
    <t>WT</t>
  </si>
  <si>
    <t>UNITS</t>
  </si>
  <si>
    <t>CONTACTS</t>
  </si>
  <si>
    <t>TO DETERMINE -</t>
  </si>
  <si>
    <t>SERVICE DISTRIBUTION AND RESULTING CONTACTS REQUIRED TO ACHIEVE VIABILITY</t>
  </si>
  <si>
    <t>CPT Wt'd Units</t>
  </si>
  <si>
    <t>Y</t>
  </si>
  <si>
    <t>Staff !</t>
  </si>
  <si>
    <t xml:space="preserve">Direct Care </t>
  </si>
  <si>
    <t>Indirect Care</t>
  </si>
  <si>
    <t>Summary</t>
  </si>
  <si>
    <t>Hourly rate</t>
  </si>
  <si>
    <t>Avg Hrs Wk</t>
  </si>
  <si>
    <t>Supervisor Y/N</t>
  </si>
  <si>
    <t>Hrs Wk to FTE Converter</t>
  </si>
  <si>
    <t>SW L2</t>
  </si>
  <si>
    <t>SW L3</t>
  </si>
  <si>
    <t>LMFT1</t>
  </si>
  <si>
    <t>CPT units per Dir Care Hour</t>
  </si>
  <si>
    <t>CPT Units of Service</t>
  </si>
  <si>
    <t>Units</t>
  </si>
  <si>
    <t>Employee Staff Costs</t>
  </si>
  <si>
    <t xml:space="preserve"> Gross Cost</t>
  </si>
  <si>
    <t>Unit Cost</t>
  </si>
  <si>
    <t>FFS Indirect Care Cost</t>
  </si>
  <si>
    <t xml:space="preserve">Fringe </t>
  </si>
  <si>
    <t>Input Paramaters</t>
  </si>
  <si>
    <t>Rev per CPT = 1</t>
  </si>
  <si>
    <t xml:space="preserve">Employed Direct Care </t>
  </si>
  <si>
    <t>Total Units</t>
  </si>
  <si>
    <t>FFS Direct Care</t>
  </si>
  <si>
    <t>Revenues</t>
  </si>
  <si>
    <t xml:space="preserve">Totals:  </t>
  </si>
  <si>
    <t>Payer Mix</t>
  </si>
  <si>
    <t>Total</t>
  </si>
  <si>
    <t>Per Unit</t>
  </si>
  <si>
    <t>Costs</t>
  </si>
  <si>
    <t>Direct Care as a % of Total Costs</t>
  </si>
  <si>
    <t>Viability Metrics</t>
  </si>
  <si>
    <t>Productivity</t>
  </si>
  <si>
    <t>Gross Cost per unit</t>
  </si>
  <si>
    <t>Gross Revenue Per Unit</t>
  </si>
  <si>
    <t>Total Expense</t>
  </si>
  <si>
    <t>Benchmark Summary</t>
  </si>
  <si>
    <t xml:space="preserve">  % of billable hrs. to paid hrs.</t>
  </si>
  <si>
    <t xml:space="preserve">Total:  </t>
  </si>
  <si>
    <t>Indirect Care FTE</t>
  </si>
  <si>
    <t>Fee for Service/Contracted Staff Costs</t>
  </si>
  <si>
    <t>Employee Summary</t>
  </si>
  <si>
    <t>Direct Care</t>
  </si>
  <si>
    <t xml:space="preserve">Total: </t>
  </si>
  <si>
    <t>FFS / Contracted Summary</t>
  </si>
  <si>
    <t>Administrative overhead as a % of ALL Personal / Fringe Benefits / OTPS</t>
  </si>
  <si>
    <t>Other Revenue</t>
  </si>
  <si>
    <r>
      <t xml:space="preserve">  Units </t>
    </r>
    <r>
      <rPr>
        <u/>
        <sz val="11"/>
        <color theme="1"/>
        <rFont val="Calibri"/>
        <family val="2"/>
        <scheme val="minor"/>
      </rPr>
      <t>per FTE</t>
    </r>
    <r>
      <rPr>
        <sz val="11"/>
        <color theme="1"/>
        <rFont val="Calibri"/>
        <family val="2"/>
        <scheme val="minor"/>
      </rPr>
      <t xml:space="preserve"> - Employed</t>
    </r>
  </si>
  <si>
    <t>Total annual units</t>
  </si>
  <si>
    <t xml:space="preserve">  Other Revenue</t>
  </si>
  <si>
    <t>Indirect Care Costs Summary</t>
  </si>
  <si>
    <t>**</t>
  </si>
  <si>
    <t>Total Indirect Personal Services</t>
  </si>
  <si>
    <t>DIRECT CARE STAFF POSITION</t>
  </si>
  <si>
    <t>Cost Summary</t>
  </si>
  <si>
    <t>Cost and Unit Detail</t>
  </si>
  <si>
    <t>Hours per wk</t>
  </si>
  <si>
    <t>Average Annual cost per Direct care staff</t>
  </si>
  <si>
    <t>Revenue</t>
  </si>
  <si>
    <t>Employed Direct Care (EDC)</t>
  </si>
  <si>
    <t>Available weeks per yr (Psy)</t>
  </si>
  <si>
    <t>Rev per CPT</t>
  </si>
  <si>
    <t>Ratio</t>
  </si>
  <si>
    <t>CPT UNIT BASED REV</t>
  </si>
  <si>
    <t>Initial Assessment Diagnostic &amp; Treatment Plan with Medical Services</t>
  </si>
  <si>
    <t>Psychiatric Assessment - 30 mins - ADD ON</t>
  </si>
  <si>
    <t>Injection Only - J Code (with Drug Purchase)</t>
  </si>
  <si>
    <t>Injection Only - J Code (without Drug Purchase)</t>
  </si>
  <si>
    <t>Psychotropic Medication Treatment - DX BASED</t>
  </si>
  <si>
    <t>Psychotropic Medication Treatment - NOT DX BASED</t>
  </si>
  <si>
    <t>Smoking Cessation Treatment - 3-10 mins; requires Dx code 305.1</t>
  </si>
  <si>
    <t>Smoking Cessation Treatment - &gt;10 mins; requires Dx code 305.1</t>
  </si>
  <si>
    <t>Smoking Cessation Treatment (Group) - &gt;10 mins; requires Dx code 305.1 (req HQ modifier)</t>
  </si>
  <si>
    <t>Alcohol and/or Drug Screening</t>
  </si>
  <si>
    <t>Alcohol and/or Drug, brief intervention, per 15 mins</t>
  </si>
  <si>
    <t>99407-HQ</t>
  </si>
  <si>
    <t>H0049</t>
  </si>
  <si>
    <t>H0050</t>
  </si>
  <si>
    <t>Hourly Consultant/FFS rate</t>
  </si>
  <si>
    <t>Consultants/FFS</t>
  </si>
  <si>
    <t>Psych units per hour</t>
  </si>
  <si>
    <r>
      <t xml:space="preserve">  Units </t>
    </r>
    <r>
      <rPr>
        <u/>
        <sz val="11"/>
        <color theme="1"/>
        <rFont val="Calibri"/>
        <family val="2"/>
        <scheme val="minor"/>
      </rPr>
      <t>per FTE</t>
    </r>
    <r>
      <rPr>
        <sz val="11"/>
        <color theme="1"/>
        <rFont val="Calibri"/>
        <family val="2"/>
        <scheme val="minor"/>
      </rPr>
      <t xml:space="preserve"> - Consultatnt/FFS</t>
    </r>
  </si>
  <si>
    <t>% of non-direct Psy time</t>
  </si>
  <si>
    <r>
      <rPr>
        <u/>
        <sz val="11"/>
        <color theme="1"/>
        <rFont val="Calibri"/>
        <family val="2"/>
        <scheme val="minor"/>
      </rPr>
      <t>FTE</t>
    </r>
    <r>
      <rPr>
        <sz val="11"/>
        <color theme="1"/>
        <rFont val="Calibri"/>
        <family val="2"/>
        <scheme val="minor"/>
      </rPr>
      <t xml:space="preserve"> - Employed</t>
    </r>
  </si>
  <si>
    <r>
      <rPr>
        <u/>
        <sz val="11"/>
        <color theme="1"/>
        <rFont val="Calibri"/>
        <family val="2"/>
        <scheme val="minor"/>
      </rPr>
      <t>FTE</t>
    </r>
    <r>
      <rPr>
        <sz val="11"/>
        <color theme="1"/>
        <rFont val="Calibri"/>
        <family val="2"/>
        <scheme val="minor"/>
      </rPr>
      <t xml:space="preserve"> - Consultatnt/FFS</t>
    </r>
  </si>
  <si>
    <t>Total FTE</t>
  </si>
  <si>
    <t>Background</t>
  </si>
  <si>
    <t>CTAC Benchmark Modeling Tool</t>
  </si>
  <si>
    <t>The Benchmark Modeling Tool is an Excel based fiscal model designed for use by Outpatient clinics. The model quantifies expenses by Direct and Indirect Costs and revenue by payer. Productivity is calculated as a function of the percentage of billed to paid hours. Once expenses, revenues, and productivity are established the model supports dynamic scenario building allowing clinic leadership to set realistic benchmark standards to assure fiscal viability.</t>
  </si>
  <si>
    <t>Brief Tab Description</t>
  </si>
  <si>
    <t>FFS-Contracted Direct Care</t>
  </si>
  <si>
    <t>This tab is used to establish cost and productivity related to Fee for Service (FFS) and Consultant staff (non-employee). In this tab the cost per hour, number of FTE's the % of non-direct care time and expected CPT units per hour is recorded by CFR Position Code.</t>
  </si>
  <si>
    <t>Employee Direct Care</t>
  </si>
  <si>
    <t>This tab is used to establish costs related to Direct Care employees. In this tab the annual salary, FTE,s, and % of non-direct care costs are recorded by CFR Position Code. In addition, hours per week and % of fringe benefits to gross salary is indicated.</t>
  </si>
  <si>
    <t>Model Analysis</t>
  </si>
  <si>
    <t xml:space="preserve">This tab displays a summary of all key model variables. </t>
  </si>
  <si>
    <t>Quick Analysis</t>
  </si>
  <si>
    <t>CPT</t>
  </si>
  <si>
    <t>This tab allows for entering service mix to establish the relationship between CPT units of service and contacts. Clinics can use it to model service mix to establish achievable productivity expectations.</t>
  </si>
  <si>
    <t xml:space="preserve">This tab is used to record all other Indirect care costs related to clinic operations. The costs include indirect care staffing costs and all operational expenses including administration and overhead. The tab also summaries all clinic personal positions and costs. </t>
  </si>
  <si>
    <t xml:space="preserve">This tab establishes revenue based upon payer mix and average reimbursement rates by payers creating a weighted average revenue per unit. The tab also records additional revenues and the % of billable to paid hours for employed staff. The tab serves as the primary analysis page with the viability metrics dynamically changing as key variables in the model are adjusted. </t>
  </si>
  <si>
    <t>TAB -&gt;</t>
  </si>
  <si>
    <t>MA</t>
  </si>
  <si>
    <t>BS</t>
  </si>
  <si>
    <t>HEADING</t>
  </si>
  <si>
    <t>Employee Direct Care FTE's</t>
  </si>
  <si>
    <t>Employee Direct Care Paid</t>
  </si>
  <si>
    <t>FFS Contracted Direct Care FTE's</t>
  </si>
  <si>
    <t>FFS Contracted Direct Care Paid</t>
  </si>
  <si>
    <t>Staff (Direct) Indirect Care FTE's</t>
  </si>
  <si>
    <t>Staff (Direct) Indirect Care Paid</t>
  </si>
  <si>
    <t>FFS Contracted Indirect Care FTE's</t>
  </si>
  <si>
    <t>FFS Contracted Indirect Care Paid</t>
  </si>
  <si>
    <t>Admin Staff FTE's</t>
  </si>
  <si>
    <t>Admin Staff Paid</t>
  </si>
  <si>
    <t>Total Indirect Care FTE's</t>
  </si>
  <si>
    <t xml:space="preserve">  Medicaid Revenue per Unit</t>
  </si>
  <si>
    <t xml:space="preserve">  Medicaid Managed Care Revenue per Unit</t>
  </si>
  <si>
    <t xml:space="preserve">  3rd Party Revenue per Unit</t>
  </si>
  <si>
    <t xml:space="preserve">  Uncompensated Care Revenue per Unit</t>
  </si>
  <si>
    <t xml:space="preserve">  Medicaid % of Total Revenue</t>
  </si>
  <si>
    <t xml:space="preserve">  Medicaid Managed Care % of Total Revenue</t>
  </si>
  <si>
    <t>3rd Party % of Total Revenue</t>
  </si>
  <si>
    <t>Uncompensated Care % of Total Revenue</t>
  </si>
  <si>
    <t xml:space="preserve">No Payment % </t>
  </si>
  <si>
    <t>Medicare % of Total Revenue</t>
  </si>
  <si>
    <t>Staff Direct Care Cost</t>
  </si>
  <si>
    <t>FFS Contracted Direct Care Cost</t>
  </si>
  <si>
    <t>Indirect Care Cost</t>
  </si>
  <si>
    <t>Total Cost</t>
  </si>
  <si>
    <t>Total Revenue</t>
  </si>
  <si>
    <t>Surplus/ (Loss)</t>
  </si>
  <si>
    <t>Total Cost Per Unit</t>
  </si>
  <si>
    <t>Total Revenue Per Unit</t>
  </si>
  <si>
    <t>Surplus/ (Loss) per Unit</t>
  </si>
  <si>
    <t>Total Salary</t>
  </si>
  <si>
    <t>Total Fringe Benefits</t>
  </si>
  <si>
    <t xml:space="preserve">  Medicaid Revenue</t>
  </si>
  <si>
    <t xml:space="preserve">  Medicaid Managed Revenue</t>
  </si>
  <si>
    <t xml:space="preserve">  3rd Party Revenue</t>
  </si>
  <si>
    <t xml:space="preserve">  Uncompensated Revenue</t>
  </si>
  <si>
    <t xml:space="preserve">  Medicare Revenue</t>
  </si>
  <si>
    <t>VALUE</t>
  </si>
  <si>
    <t>Gross Surplus / (Loss) per Unit</t>
  </si>
  <si>
    <t>Avg Rate /Unit:</t>
  </si>
  <si>
    <t>Total Annual Units</t>
  </si>
  <si>
    <t>Avg Revenue per CPT</t>
  </si>
  <si>
    <t>QA</t>
  </si>
  <si>
    <t xml:space="preserve"> QA Medicaid</t>
  </si>
  <si>
    <t>QA  3rd Party</t>
  </si>
  <si>
    <t>QA  Uncompensated</t>
  </si>
  <si>
    <t>QA  No Payment/Free care</t>
  </si>
  <si>
    <t>QA  Medicare</t>
  </si>
  <si>
    <t xml:space="preserve"> QA Medicaid %</t>
  </si>
  <si>
    <t>QA  Medicaid Managed Care %</t>
  </si>
  <si>
    <t>QA  Medicaid Managed Care</t>
  </si>
  <si>
    <t>QA  3rd Party %</t>
  </si>
  <si>
    <t>QA  Uncompensated %</t>
  </si>
  <si>
    <t>QA  Medicare %</t>
  </si>
  <si>
    <t>QA Avg Revenue per CPT</t>
  </si>
  <si>
    <t>QA % of billable hrs. to paid hrs.</t>
  </si>
  <si>
    <t>QA Hours per wk</t>
  </si>
  <si>
    <t>QA Hourly Consultant/FFS rate</t>
  </si>
  <si>
    <t>QA Psych units per hour</t>
  </si>
  <si>
    <t>QA Available weeks per yr (Psy)</t>
  </si>
  <si>
    <t>QA % of non-direct Psy time</t>
  </si>
  <si>
    <t>QA Total FTE's</t>
  </si>
  <si>
    <t>QA Staff Direct Care FTE's</t>
  </si>
  <si>
    <t>QA Consultants/FFS FTE's</t>
  </si>
  <si>
    <t>QA Contracted Psychiatrist FTE's</t>
  </si>
  <si>
    <t>QA Direct Care as a % of Total Costs</t>
  </si>
  <si>
    <t>QA Staff Direct Care Units per FTE</t>
  </si>
  <si>
    <t>QA Consultants/FFS Units per FTE</t>
  </si>
  <si>
    <t>QA Contracted Psychiatrist Units per FTE</t>
  </si>
  <si>
    <t>QA Staff Direct Care Total Units</t>
  </si>
  <si>
    <t>QA Consultants/FFS Total Units</t>
  </si>
  <si>
    <t>QA Contracted Psychiatrist Total Units</t>
  </si>
  <si>
    <t>QA Total Units</t>
  </si>
  <si>
    <t>QA Staff Direct Care Avg Annual Cost</t>
  </si>
  <si>
    <t>QA Consultants/FFS Avg Annual Cost</t>
  </si>
  <si>
    <t>QA Contracted Psychiatrist Avg Annual Cost</t>
  </si>
  <si>
    <t>QA Staff Direct Care Cost</t>
  </si>
  <si>
    <t>QA Consultants/FFS Cost</t>
  </si>
  <si>
    <t>QA Contracted Psychiatrist Cost</t>
  </si>
  <si>
    <t>QA Indirect Costs</t>
  </si>
  <si>
    <t>QA Total Costs</t>
  </si>
  <si>
    <t>QA Staff Direct Care Revenue</t>
  </si>
  <si>
    <t>QA Consultants/FFS Revenue</t>
  </si>
  <si>
    <t>QA Contracted Psychiatrist Revenue</t>
  </si>
  <si>
    <t>QA Total Revenue</t>
  </si>
  <si>
    <t>QA Staff Direct Care Rev Ratio</t>
  </si>
  <si>
    <t>QA Consultants/FFS Rev Ratio</t>
  </si>
  <si>
    <t>QA Contracted Psychiatrist Rev Ratio</t>
  </si>
  <si>
    <t>QA Total Cost</t>
  </si>
  <si>
    <t>QA Total Surplus / (Loss)</t>
  </si>
  <si>
    <t>QA Cost per Unit</t>
  </si>
  <si>
    <t>QA Revenue per Unit</t>
  </si>
  <si>
    <t>QA Surplus / (Loss) per Unit</t>
  </si>
  <si>
    <t>SVC %</t>
  </si>
  <si>
    <t>TYPE</t>
  </si>
  <si>
    <t>SVC WGT</t>
  </si>
  <si>
    <t>CPT WGT UNITS</t>
  </si>
  <si>
    <t>SVC REVENUE</t>
  </si>
  <si>
    <t>DATA COLLECTION TAB: FOR DATABASE</t>
  </si>
  <si>
    <t>Indirect Care Fringe Benefits</t>
  </si>
  <si>
    <t>Units per Staff Direct Care FTE</t>
  </si>
  <si>
    <t>Units per FFS-Contracted Direct Care FTE</t>
  </si>
  <si>
    <t>Total Staff DC Units</t>
  </si>
  <si>
    <t>Total FFS Contracted DC Units</t>
  </si>
  <si>
    <t>This tab allows for a "quick and dirty" analysis using aggregated data and does not rely on the detail in any other tabs. This model can be used to understand how the variables interact with each other and which variables may be the most sensitive and might need to be addressed.  This does not replace the Benchmarking Data Entry requirement, you must still complete data tabs.</t>
  </si>
  <si>
    <t xml:space="preserve">  Free Care</t>
  </si>
  <si>
    <t xml:space="preserve">  No Payment (denials, voids, etc)</t>
  </si>
  <si>
    <t>FFS/Contracted</t>
  </si>
  <si>
    <t>FFS/Consultant Unit per Hr</t>
  </si>
  <si>
    <t>Free Care %</t>
  </si>
  <si>
    <t>Free Care per Unit</t>
  </si>
  <si>
    <t>QA  Free care %</t>
  </si>
  <si>
    <t>QA  No Payment %</t>
  </si>
  <si>
    <t>row</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</si>
</sst>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0"/>
    <numFmt numFmtId="168" formatCode="#,##0.0000_);\(#,##0.0000\)"/>
    <numFmt numFmtId="169" formatCode="_(* #,##0.0000_);_(* \(#,##0.0000\);_(* &quot;-&quot;????_);_(@_)"/>
    <numFmt numFmtId="170" formatCode="#,##0.0_);\(#,##0.0\)"/>
    <numFmt numFmtId="171" formatCode="&quot;$&quot;#,##0"/>
    <numFmt numFmtId="172" formatCode="_([$$-409]* #,##0_);_([$$-409]* \(#,##0\);_([$$-409]* &quot;-&quot;??_);_(@_)"/>
    <numFmt numFmtId="173" formatCode="&quot;$&quot;#,##0.00"/>
    <numFmt numFmtId="174" formatCode="_([$$-409]* #,##0_);_([$$-409]* \(#,##0\);_([$$-409]* &quot;-&quot;_);_(@_)"/>
    <numFmt numFmtId="175" formatCode="_(* #,##0.000_);_(* \(#,##0.000\);_(* &quot;-&quot;??_);_(@_)"/>
    <numFmt numFmtId="176" formatCode="_(* #,##0.0000_);_(* \(#,##0.0000\);_(* &quot;-&quot;??_);_(@_)"/>
    <numFmt numFmtId="177" formatCode="#,##0.000"/>
    <numFmt numFmtId="178" formatCode="0.000"/>
    <numFmt numFmtId="179" formatCode="#,##0.0"/>
  </numFmts>
  <fonts count="61" x14ac:knownFonts="1">
    <font>
      <sz val="11"/>
      <color theme="1"/>
      <name val="Calibri"/>
      <family val="2"/>
      <scheme val="minor"/>
    </font>
    <font>
      <sz val="11"/>
      <color indexed="8"/>
      <name val="Calibri"/>
      <family val="2"/>
    </font>
    <font>
      <b/>
      <sz val="11"/>
      <color indexed="8"/>
      <name val="Calibri"/>
      <family val="2"/>
    </font>
    <font>
      <b/>
      <sz val="14"/>
      <color indexed="8"/>
      <name val="Arial"/>
      <family val="2"/>
    </font>
    <font>
      <b/>
      <sz val="10"/>
      <color indexed="8"/>
      <name val="Arial"/>
      <family val="2"/>
    </font>
    <font>
      <sz val="10"/>
      <color indexed="8"/>
      <name val="Arial"/>
      <family val="2"/>
    </font>
    <font>
      <b/>
      <i/>
      <sz val="10"/>
      <color indexed="8"/>
      <name val="Arial"/>
      <family val="2"/>
    </font>
    <font>
      <sz val="10"/>
      <color indexed="8"/>
      <name val="Arial"/>
      <family val="2"/>
    </font>
    <font>
      <b/>
      <sz val="9"/>
      <color indexed="8"/>
      <name val="Arial"/>
      <family val="2"/>
    </font>
    <font>
      <b/>
      <sz val="10"/>
      <name val="Arial"/>
      <family val="2"/>
    </font>
    <font>
      <b/>
      <sz val="9"/>
      <color indexed="8"/>
      <name val="Arial"/>
      <family val="2"/>
    </font>
    <font>
      <sz val="8"/>
      <color indexed="8"/>
      <name val="Arial"/>
      <family val="2"/>
    </font>
    <font>
      <sz val="9"/>
      <color indexed="81"/>
      <name val="Tahoma"/>
      <family val="2"/>
    </font>
    <font>
      <sz val="8"/>
      <color indexed="81"/>
      <name val="Tahoma"/>
      <family val="2"/>
    </font>
    <font>
      <b/>
      <i/>
      <sz val="11"/>
      <color indexed="8"/>
      <name val="Calibri"/>
      <family val="2"/>
    </font>
    <font>
      <b/>
      <sz val="11"/>
      <name val="Calibri"/>
      <family val="2"/>
    </font>
    <font>
      <sz val="10"/>
      <name val="Calibri"/>
      <family val="2"/>
    </font>
    <font>
      <b/>
      <sz val="10"/>
      <name val="Calibri"/>
      <family val="2"/>
    </font>
    <font>
      <sz val="10"/>
      <color indexed="8"/>
      <name val="Calibri"/>
      <family val="2"/>
    </font>
    <font>
      <sz val="10"/>
      <color indexed="10"/>
      <name val="Calibri"/>
      <family val="2"/>
    </font>
    <font>
      <b/>
      <sz val="10"/>
      <color indexed="8"/>
      <name val="Calibri"/>
      <family val="2"/>
    </font>
    <font>
      <sz val="10"/>
      <name val="Calibri"/>
      <family val="2"/>
    </font>
    <font>
      <u/>
      <sz val="10"/>
      <name val="Calibri"/>
      <family val="2"/>
    </font>
    <font>
      <b/>
      <sz val="9"/>
      <color indexed="81"/>
      <name val="Tahoma"/>
      <family val="2"/>
    </font>
    <font>
      <sz val="8"/>
      <name val="Calibri"/>
      <family val="2"/>
    </font>
    <font>
      <sz val="11"/>
      <color theme="1"/>
      <name val="Calibri"/>
      <family val="2"/>
      <scheme val="minor"/>
    </font>
    <font>
      <u/>
      <sz val="11"/>
      <color theme="10"/>
      <name val="Calibri"/>
      <family val="2"/>
      <scheme val="minor"/>
    </font>
    <font>
      <sz val="11"/>
      <color rgb="FF006100"/>
      <name val="Calibri"/>
      <family val="2"/>
      <scheme val="minor"/>
    </font>
    <font>
      <b/>
      <sz val="11"/>
      <color theme="1"/>
      <name val="Calibri"/>
      <family val="2"/>
      <scheme val="minor"/>
    </font>
    <font>
      <sz val="11"/>
      <color theme="0"/>
      <name val="Calibri"/>
      <family val="2"/>
      <scheme val="minor"/>
    </font>
    <font>
      <sz val="11"/>
      <color indexed="8"/>
      <name val="Arial"/>
      <family val="2"/>
    </font>
    <font>
      <b/>
      <i/>
      <sz val="11"/>
      <color theme="0"/>
      <name val="Calibri"/>
      <family val="2"/>
      <scheme val="minor"/>
    </font>
    <font>
      <b/>
      <i/>
      <sz val="12"/>
      <color indexed="8"/>
      <name val="Calibri"/>
      <family val="2"/>
    </font>
    <font>
      <b/>
      <sz val="12"/>
      <color theme="1"/>
      <name val="Calibri"/>
      <family val="2"/>
      <scheme val="minor"/>
    </font>
    <font>
      <i/>
      <sz val="11"/>
      <color rgb="FF006100"/>
      <name val="Calibri"/>
      <family val="2"/>
      <scheme val="minor"/>
    </font>
    <font>
      <sz val="11"/>
      <color rgb="FF3F3F76"/>
      <name val="Calibri"/>
      <family val="2"/>
      <scheme val="minor"/>
    </font>
    <font>
      <b/>
      <sz val="11"/>
      <name val="Calibri"/>
      <family val="2"/>
      <scheme val="minor"/>
    </font>
    <font>
      <u/>
      <sz val="11"/>
      <color theme="1"/>
      <name val="Calibri"/>
      <family val="2"/>
      <scheme val="minor"/>
    </font>
    <font>
      <b/>
      <sz val="14"/>
      <color indexed="8"/>
      <name val="Calibri"/>
      <family val="2"/>
      <scheme val="minor"/>
    </font>
    <font>
      <b/>
      <sz val="10"/>
      <color indexed="8"/>
      <name val="Calibri"/>
      <family val="2"/>
      <scheme val="minor"/>
    </font>
    <font>
      <sz val="10"/>
      <color indexed="8"/>
      <name val="Calibri"/>
      <family val="2"/>
      <scheme val="minor"/>
    </font>
    <font>
      <b/>
      <sz val="11"/>
      <color indexed="8"/>
      <name val="Calibri"/>
      <family val="2"/>
      <scheme val="minor"/>
    </font>
    <font>
      <sz val="11"/>
      <color indexed="8"/>
      <name val="Calibri"/>
      <family val="2"/>
      <scheme val="minor"/>
    </font>
    <font>
      <b/>
      <i/>
      <sz val="11"/>
      <color indexed="8"/>
      <name val="Calibri"/>
      <family val="2"/>
      <scheme val="minor"/>
    </font>
    <font>
      <b/>
      <sz val="9"/>
      <name val="Calibri"/>
      <family val="2"/>
      <scheme val="minor"/>
    </font>
    <font>
      <b/>
      <u/>
      <sz val="9"/>
      <name val="Calibri"/>
      <family val="2"/>
      <scheme val="minor"/>
    </font>
    <font>
      <b/>
      <sz val="9"/>
      <name val="Calibri"/>
      <family val="2"/>
    </font>
    <font>
      <sz val="9"/>
      <color indexed="8"/>
      <name val="Calibri"/>
      <family val="2"/>
    </font>
    <font>
      <b/>
      <u/>
      <sz val="9"/>
      <name val="Calibri"/>
      <family val="2"/>
    </font>
    <font>
      <b/>
      <sz val="9"/>
      <color rgb="FFFF0000"/>
      <name val="Calibri"/>
      <family val="2"/>
      <scheme val="minor"/>
    </font>
    <font>
      <b/>
      <sz val="9"/>
      <color indexed="8"/>
      <name val="Calibri"/>
      <family val="2"/>
    </font>
    <font>
      <b/>
      <sz val="8"/>
      <color indexed="81"/>
      <name val="Tahoma"/>
      <family val="2"/>
    </font>
    <font>
      <sz val="9"/>
      <name val="Calibri"/>
      <family val="2"/>
    </font>
    <font>
      <b/>
      <sz val="9"/>
      <color theme="1"/>
      <name val="Calibri"/>
      <family val="2"/>
    </font>
    <font>
      <b/>
      <u/>
      <sz val="12"/>
      <color indexed="8"/>
      <name val="Calibri"/>
      <family val="2"/>
    </font>
    <font>
      <b/>
      <sz val="11"/>
      <color indexed="8"/>
      <name val="Arial"/>
      <family val="2"/>
    </font>
    <font>
      <b/>
      <sz val="11"/>
      <color rgb="FF006100"/>
      <name val="Calibri"/>
      <family val="2"/>
      <scheme val="minor"/>
    </font>
    <font>
      <b/>
      <sz val="14"/>
      <color theme="1"/>
      <name val="Calibri"/>
      <family val="2"/>
      <scheme val="minor"/>
    </font>
    <font>
      <b/>
      <sz val="8"/>
      <name val="Calibri"/>
      <family val="2"/>
    </font>
    <font>
      <b/>
      <u/>
      <sz val="8"/>
      <name val="Calibri"/>
      <family val="2"/>
    </font>
    <font>
      <b/>
      <sz val="16"/>
      <color theme="1"/>
      <name val="Calibri"/>
      <family val="2"/>
      <scheme val="minor"/>
    </font>
  </fonts>
  <fills count="2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31"/>
        <bgColor indexed="64"/>
      </patternFill>
    </fill>
    <fill>
      <patternFill patternType="solid">
        <fgColor rgb="FFC6EFCE"/>
      </patternFill>
    </fill>
    <fill>
      <patternFill patternType="solid">
        <fgColor theme="5"/>
      </patternFill>
    </fill>
    <fill>
      <patternFill patternType="solid">
        <fgColor theme="7"/>
      </patternFill>
    </fill>
    <fill>
      <patternFill patternType="solid">
        <fgColor theme="9"/>
      </patternFill>
    </fill>
    <fill>
      <patternFill patternType="solid">
        <fgColor theme="1" tint="0.249977111117893"/>
        <bgColor indexed="64"/>
      </patternFill>
    </fill>
    <fill>
      <patternFill patternType="solid">
        <fgColor rgb="FFFFCC99"/>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5" tint="0.59999389629810485"/>
        <bgColor indexed="65"/>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right/>
      <top style="thin">
        <color rgb="FF7F7F7F"/>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right style="thick">
        <color indexed="64"/>
      </right>
      <top/>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26" fillId="0" borderId="0" applyNumberFormat="0" applyFill="0" applyBorder="0" applyAlignment="0" applyProtection="0"/>
    <xf numFmtId="0" fontId="25" fillId="0" borderId="0"/>
    <xf numFmtId="0" fontId="25" fillId="0" borderId="0"/>
    <xf numFmtId="0" fontId="25" fillId="0" borderId="0"/>
    <xf numFmtId="9" fontId="1" fillId="0" borderId="0" applyFont="0" applyFill="0" applyBorder="0" applyAlignment="0" applyProtection="0"/>
    <xf numFmtId="0" fontId="27"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35" fillId="14" borderId="19" applyNumberFormat="0" applyAlignment="0" applyProtection="0"/>
    <xf numFmtId="0" fontId="25" fillId="18" borderId="0" applyNumberFormat="0" applyBorder="0" applyAlignment="0" applyProtection="0"/>
  </cellStyleXfs>
  <cellXfs count="550">
    <xf numFmtId="0" fontId="0" fillId="0" borderId="0" xfId="0"/>
    <xf numFmtId="0" fontId="0" fillId="0" borderId="0" xfId="0" applyFont="1"/>
    <xf numFmtId="0" fontId="3" fillId="0" borderId="0" xfId="0" applyFont="1" applyAlignment="1"/>
    <xf numFmtId="0" fontId="4" fillId="0" borderId="0" xfId="0" applyFont="1" applyFill="1" applyAlignment="1"/>
    <xf numFmtId="43" fontId="4" fillId="0" borderId="0" xfId="1" applyNumberFormat="1" applyFont="1" applyAlignment="1"/>
    <xf numFmtId="0" fontId="6" fillId="0" borderId="0" xfId="0" applyFont="1" applyBorder="1" applyAlignment="1">
      <alignment horizontal="center"/>
    </xf>
    <xf numFmtId="0" fontId="0" fillId="0" borderId="0" xfId="0" applyFont="1" applyAlignment="1">
      <alignment horizontal="center"/>
    </xf>
    <xf numFmtId="0" fontId="3" fillId="0" borderId="0" xfId="0" applyFont="1"/>
    <xf numFmtId="43" fontId="7" fillId="0" borderId="0" xfId="1" applyNumberFormat="1" applyFont="1"/>
    <xf numFmtId="0" fontId="0" fillId="0" borderId="0" xfId="0" applyBorder="1"/>
    <xf numFmtId="0" fontId="0" fillId="0" borderId="0" xfId="0" applyFont="1" applyFill="1"/>
    <xf numFmtId="0" fontId="10" fillId="0" borderId="2" xfId="0" applyFont="1" applyBorder="1" applyAlignment="1">
      <alignment horizontal="center" wrapText="1"/>
    </xf>
    <xf numFmtId="43" fontId="10" fillId="0" borderId="2" xfId="1" applyNumberFormat="1" applyFont="1" applyBorder="1" applyAlignment="1">
      <alignment horizontal="center" wrapText="1"/>
    </xf>
    <xf numFmtId="5" fontId="4" fillId="3" borderId="3" xfId="1" applyNumberFormat="1" applyFont="1" applyFill="1" applyBorder="1"/>
    <xf numFmtId="0" fontId="4" fillId="0" borderId="3" xfId="0" applyFont="1" applyBorder="1" applyAlignment="1">
      <alignment horizontal="center"/>
    </xf>
    <xf numFmtId="0" fontId="4" fillId="0" borderId="3" xfId="0" applyFont="1" applyBorder="1"/>
    <xf numFmtId="0" fontId="0" fillId="0" borderId="0" xfId="0" applyFont="1" applyBorder="1"/>
    <xf numFmtId="43" fontId="4" fillId="3" borderId="3" xfId="1" applyNumberFormat="1" applyFont="1" applyFill="1" applyBorder="1"/>
    <xf numFmtId="0" fontId="0" fillId="4" borderId="0" xfId="0" applyFill="1" applyProtection="1">
      <protection locked="0"/>
    </xf>
    <xf numFmtId="43" fontId="7" fillId="4" borderId="0" xfId="1" applyNumberFormat="1" applyFont="1" applyFill="1" applyProtection="1">
      <protection locked="0"/>
    </xf>
    <xf numFmtId="164" fontId="5" fillId="3" borderId="0" xfId="1" applyNumberFormat="1" applyFont="1" applyFill="1" applyBorder="1" applyProtection="1">
      <protection locked="0"/>
    </xf>
    <xf numFmtId="0" fontId="11" fillId="5" borderId="0" xfId="0" applyFont="1" applyFill="1"/>
    <xf numFmtId="43" fontId="7" fillId="5" borderId="0" xfId="1" applyNumberFormat="1" applyFont="1" applyFill="1"/>
    <xf numFmtId="164" fontId="5" fillId="5" borderId="0" xfId="1" applyNumberFormat="1" applyFont="1" applyFill="1" applyBorder="1" applyProtection="1">
      <protection locked="0"/>
    </xf>
    <xf numFmtId="0" fontId="0" fillId="4" borderId="0" xfId="0" applyFont="1" applyFill="1" applyProtection="1">
      <protection locked="0"/>
    </xf>
    <xf numFmtId="0" fontId="4" fillId="0" borderId="3" xfId="0" applyFont="1" applyFill="1" applyBorder="1"/>
    <xf numFmtId="0" fontId="4" fillId="0" borderId="3" xfId="0" quotePrefix="1" applyFont="1" applyBorder="1" applyAlignment="1">
      <alignment horizontal="center"/>
    </xf>
    <xf numFmtId="0" fontId="0" fillId="0" borderId="0" xfId="0" quotePrefix="1" applyAlignment="1">
      <alignment horizontal="center"/>
    </xf>
    <xf numFmtId="0" fontId="0" fillId="0" borderId="0" xfId="0" applyAlignment="1">
      <alignment horizontal="center"/>
    </xf>
    <xf numFmtId="164" fontId="7" fillId="0" borderId="0" xfId="1" applyNumberFormat="1" applyFont="1" applyBorder="1"/>
    <xf numFmtId="164" fontId="2" fillId="4" borderId="0" xfId="1" applyNumberFormat="1" applyFont="1" applyFill="1" applyProtection="1">
      <protection locked="0"/>
    </xf>
    <xf numFmtId="43" fontId="7" fillId="4" borderId="0" xfId="1" applyNumberFormat="1" applyFont="1" applyFill="1" applyAlignment="1" applyProtection="1">
      <alignment horizontal="center"/>
      <protection locked="0"/>
    </xf>
    <xf numFmtId="9" fontId="7" fillId="4" borderId="0" xfId="1" applyNumberFormat="1" applyFont="1" applyFill="1" applyAlignment="1" applyProtection="1">
      <alignment horizontal="center"/>
      <protection locked="0"/>
    </xf>
    <xf numFmtId="43" fontId="5" fillId="3" borderId="0" xfId="1" applyNumberFormat="1" applyFont="1" applyFill="1" applyBorder="1" applyProtection="1">
      <protection locked="0"/>
    </xf>
    <xf numFmtId="39" fontId="4" fillId="3" borderId="3" xfId="1" applyNumberFormat="1" applyFont="1" applyFill="1" applyBorder="1"/>
    <xf numFmtId="5" fontId="0" fillId="0" borderId="0" xfId="0" applyNumberFormat="1"/>
    <xf numFmtId="0" fontId="0" fillId="0" borderId="0" xfId="0" applyAlignment="1">
      <alignment horizontal="left"/>
    </xf>
    <xf numFmtId="39" fontId="2" fillId="4" borderId="0" xfId="1" applyNumberFormat="1" applyFont="1" applyFill="1" applyProtection="1">
      <protection locked="0"/>
    </xf>
    <xf numFmtId="44" fontId="2" fillId="4" borderId="1" xfId="2" applyFont="1" applyFill="1" applyBorder="1" applyProtection="1">
      <protection locked="0"/>
    </xf>
    <xf numFmtId="10" fontId="2" fillId="4" borderId="0" xfId="1" applyNumberFormat="1" applyFont="1" applyFill="1" applyProtection="1">
      <protection locked="0"/>
    </xf>
    <xf numFmtId="0" fontId="4" fillId="3" borderId="1" xfId="0" applyFont="1" applyFill="1" applyBorder="1" applyAlignment="1">
      <alignment horizontal="center"/>
    </xf>
    <xf numFmtId="0" fontId="4" fillId="4" borderId="1" xfId="0" applyFont="1" applyFill="1" applyBorder="1" applyAlignment="1">
      <alignment horizontal="center"/>
    </xf>
    <xf numFmtId="43" fontId="7" fillId="0" borderId="0" xfId="1" applyNumberFormat="1" applyFont="1" applyAlignment="1">
      <alignment horizontal="center"/>
    </xf>
    <xf numFmtId="43" fontId="4" fillId="3" borderId="3" xfId="1" applyNumberFormat="1" applyFont="1" applyFill="1" applyBorder="1" applyAlignment="1">
      <alignment horizontal="center"/>
    </xf>
    <xf numFmtId="43" fontId="7" fillId="5" borderId="0" xfId="1" applyNumberFormat="1" applyFont="1" applyFill="1" applyAlignment="1">
      <alignment horizontal="center"/>
    </xf>
    <xf numFmtId="43" fontId="0" fillId="0" borderId="0" xfId="0" applyNumberFormat="1"/>
    <xf numFmtId="0" fontId="4" fillId="0" borderId="0" xfId="0" applyFont="1" applyBorder="1" applyAlignment="1">
      <alignment horizontal="center"/>
    </xf>
    <xf numFmtId="0" fontId="4" fillId="0" borderId="0" xfId="0" applyFont="1" applyBorder="1"/>
    <xf numFmtId="5" fontId="4" fillId="3" borderId="2" xfId="1" applyNumberFormat="1" applyFont="1" applyFill="1" applyBorder="1"/>
    <xf numFmtId="0" fontId="30" fillId="0" borderId="1" xfId="0" applyFont="1" applyBorder="1"/>
    <xf numFmtId="43" fontId="5" fillId="3" borderId="1" xfId="1" applyNumberFormat="1" applyFont="1" applyFill="1" applyBorder="1"/>
    <xf numFmtId="5" fontId="5" fillId="3" borderId="1" xfId="1" applyNumberFormat="1" applyFont="1" applyFill="1" applyBorder="1"/>
    <xf numFmtId="43" fontId="8" fillId="0" borderId="2" xfId="1" applyNumberFormat="1" applyFont="1" applyBorder="1" applyAlignment="1">
      <alignment horizontal="center" wrapText="1"/>
    </xf>
    <xf numFmtId="43" fontId="5" fillId="4" borderId="0" xfId="1" applyNumberFormat="1" applyFont="1" applyFill="1" applyAlignment="1" applyProtection="1">
      <alignment horizontal="center"/>
      <protection locked="0"/>
    </xf>
    <xf numFmtId="169" fontId="7" fillId="4" borderId="0" xfId="1" applyNumberFormat="1" applyFont="1" applyFill="1" applyProtection="1">
      <protection locked="0"/>
    </xf>
    <xf numFmtId="169" fontId="4" fillId="3" borderId="3" xfId="1" applyNumberFormat="1" applyFont="1" applyFill="1" applyBorder="1"/>
    <xf numFmtId="169" fontId="7" fillId="5" borderId="0" xfId="1" applyNumberFormat="1" applyFont="1" applyFill="1"/>
    <xf numFmtId="169" fontId="7" fillId="0" borderId="0" xfId="1" applyNumberFormat="1" applyFont="1"/>
    <xf numFmtId="2" fontId="7" fillId="0" borderId="0" xfId="1" applyNumberFormat="1" applyFont="1" applyAlignment="1">
      <alignment horizontal="center"/>
    </xf>
    <xf numFmtId="2" fontId="0" fillId="0" borderId="0" xfId="0" applyNumberFormat="1" applyFont="1" applyAlignment="1">
      <alignment horizontal="center"/>
    </xf>
    <xf numFmtId="2" fontId="4" fillId="0" borderId="0" xfId="0" applyNumberFormat="1" applyFont="1" applyBorder="1" applyAlignment="1">
      <alignment horizontal="center"/>
    </xf>
    <xf numFmtId="2" fontId="8" fillId="0" borderId="2" xfId="1" applyNumberFormat="1" applyFont="1" applyBorder="1" applyAlignment="1">
      <alignment horizontal="center" wrapText="1"/>
    </xf>
    <xf numFmtId="2" fontId="4" fillId="3" borderId="3" xfId="1" applyNumberFormat="1" applyFont="1" applyFill="1" applyBorder="1" applyAlignment="1">
      <alignment horizontal="center"/>
    </xf>
    <xf numFmtId="2" fontId="7" fillId="4" borderId="0" xfId="1" applyNumberFormat="1" applyFont="1" applyFill="1" applyAlignment="1" applyProtection="1">
      <alignment horizontal="center"/>
      <protection locked="0"/>
    </xf>
    <xf numFmtId="2" fontId="7" fillId="5" borderId="0" xfId="1" applyNumberFormat="1" applyFont="1" applyFill="1" applyAlignment="1">
      <alignment horizontal="center"/>
    </xf>
    <xf numFmtId="2" fontId="0" fillId="0" borderId="0" xfId="0" applyNumberFormat="1"/>
    <xf numFmtId="170" fontId="5" fillId="3" borderId="1" xfId="1" applyNumberFormat="1" applyFont="1" applyFill="1" applyBorder="1"/>
    <xf numFmtId="7" fontId="5" fillId="3" borderId="1" xfId="1" applyNumberFormat="1" applyFont="1" applyFill="1" applyBorder="1"/>
    <xf numFmtId="39" fontId="2" fillId="4" borderId="1" xfId="1" applyNumberFormat="1" applyFont="1" applyFill="1" applyBorder="1" applyProtection="1">
      <protection locked="0"/>
    </xf>
    <xf numFmtId="168" fontId="5" fillId="3" borderId="1" xfId="1" applyNumberFormat="1" applyFont="1" applyFill="1" applyBorder="1" applyProtection="1">
      <protection locked="0"/>
    </xf>
    <xf numFmtId="3" fontId="0" fillId="0" borderId="0" xfId="0" applyNumberFormat="1" applyAlignment="1">
      <alignment horizontal="center"/>
    </xf>
    <xf numFmtId="0" fontId="0" fillId="0" borderId="0" xfId="0" applyAlignment="1">
      <alignment horizontal="right"/>
    </xf>
    <xf numFmtId="3" fontId="15" fillId="4" borderId="1" xfId="7" applyNumberFormat="1" applyFont="1" applyFill="1" applyBorder="1" applyAlignment="1" applyProtection="1">
      <alignment horizontal="center"/>
      <protection locked="0"/>
    </xf>
    <xf numFmtId="166" fontId="15" fillId="4" borderId="1" xfId="7" applyNumberFormat="1" applyFont="1" applyFill="1" applyBorder="1" applyAlignment="1" applyProtection="1">
      <alignment horizontal="center"/>
      <protection locked="0"/>
    </xf>
    <xf numFmtId="0" fontId="25" fillId="0" borderId="0" xfId="6" applyBorder="1"/>
    <xf numFmtId="0" fontId="34" fillId="9" borderId="19" xfId="8" applyFont="1" applyBorder="1"/>
    <xf numFmtId="37" fontId="28" fillId="0" borderId="0" xfId="0" applyNumberFormat="1" applyFont="1"/>
    <xf numFmtId="5" fontId="28" fillId="0" borderId="3" xfId="0" applyNumberFormat="1" applyFont="1" applyBorder="1"/>
    <xf numFmtId="0" fontId="28" fillId="0" borderId="0" xfId="0" applyFont="1"/>
    <xf numFmtId="5" fontId="28" fillId="0" borderId="0" xfId="0" applyNumberFormat="1" applyFont="1"/>
    <xf numFmtId="9" fontId="28" fillId="0" borderId="0" xfId="0" applyNumberFormat="1" applyFont="1"/>
    <xf numFmtId="3" fontId="28" fillId="0" borderId="0" xfId="0" applyNumberFormat="1" applyFont="1"/>
    <xf numFmtId="7" fontId="28" fillId="0" borderId="0" xfId="0" applyNumberFormat="1" applyFont="1"/>
    <xf numFmtId="0" fontId="0" fillId="0" borderId="0" xfId="6" applyFont="1" applyFill="1" applyBorder="1"/>
    <xf numFmtId="9" fontId="28" fillId="0" borderId="22" xfId="0" applyNumberFormat="1" applyFont="1" applyBorder="1"/>
    <xf numFmtId="165" fontId="0" fillId="4" borderId="5" xfId="2" applyNumberFormat="1" applyFont="1" applyFill="1" applyBorder="1" applyProtection="1">
      <protection locked="0"/>
    </xf>
    <xf numFmtId="165" fontId="0" fillId="4" borderId="1" xfId="2" applyNumberFormat="1" applyFont="1" applyFill="1" applyBorder="1" applyProtection="1">
      <protection locked="0"/>
    </xf>
    <xf numFmtId="37" fontId="0" fillId="4" borderId="1" xfId="2" applyNumberFormat="1" applyFont="1" applyFill="1" applyBorder="1" applyProtection="1">
      <protection locked="0"/>
    </xf>
    <xf numFmtId="0" fontId="38" fillId="0" borderId="0" xfId="0" applyFont="1" applyAlignment="1"/>
    <xf numFmtId="0" fontId="38" fillId="0" borderId="0" xfId="0" applyFont="1"/>
    <xf numFmtId="0" fontId="0" fillId="4" borderId="16" xfId="0" applyFont="1" applyFill="1" applyBorder="1" applyProtection="1">
      <protection locked="0"/>
    </xf>
    <xf numFmtId="0" fontId="0" fillId="4" borderId="12" xfId="0" applyFont="1" applyFill="1" applyBorder="1" applyProtection="1">
      <protection locked="0"/>
    </xf>
    <xf numFmtId="0" fontId="0" fillId="4" borderId="1" xfId="0" applyFont="1" applyFill="1" applyBorder="1" applyProtection="1">
      <protection locked="0"/>
    </xf>
    <xf numFmtId="2" fontId="42" fillId="4" borderId="4" xfId="1" applyNumberFormat="1" applyFont="1" applyFill="1" applyBorder="1" applyProtection="1">
      <protection locked="0"/>
    </xf>
    <xf numFmtId="2" fontId="42" fillId="4" borderId="6" xfId="1" applyNumberFormat="1" applyFont="1" applyFill="1" applyBorder="1" applyProtection="1">
      <protection locked="0"/>
    </xf>
    <xf numFmtId="3" fontId="42" fillId="4" borderId="0" xfId="1" applyNumberFormat="1" applyFont="1" applyFill="1" applyBorder="1" applyProtection="1">
      <protection locked="0"/>
    </xf>
    <xf numFmtId="43" fontId="42" fillId="4" borderId="6" xfId="1" applyNumberFormat="1" applyFont="1" applyFill="1" applyBorder="1" applyProtection="1">
      <protection locked="0"/>
    </xf>
    <xf numFmtId="4" fontId="15" fillId="4" borderId="1" xfId="7" applyNumberFormat="1" applyFont="1" applyFill="1" applyBorder="1" applyAlignment="1" applyProtection="1">
      <alignment horizontal="center"/>
      <protection locked="0"/>
    </xf>
    <xf numFmtId="173" fontId="15" fillId="4" borderId="1" xfId="7" applyNumberFormat="1" applyFont="1" applyFill="1" applyBorder="1" applyAlignment="1" applyProtection="1">
      <alignment horizontal="center"/>
      <protection locked="0"/>
    </xf>
    <xf numFmtId="9" fontId="2" fillId="21" borderId="1" xfId="7" applyNumberFormat="1" applyFont="1" applyFill="1" applyBorder="1" applyAlignment="1" applyProtection="1">
      <alignment horizontal="right"/>
      <protection locked="0"/>
    </xf>
    <xf numFmtId="10" fontId="15" fillId="4" borderId="1" xfId="7" applyNumberFormat="1" applyFont="1" applyFill="1" applyBorder="1" applyAlignment="1" applyProtection="1">
      <alignment horizontal="center"/>
      <protection locked="0"/>
    </xf>
    <xf numFmtId="42" fontId="15" fillId="4" borderId="1" xfId="7" applyNumberFormat="1" applyFont="1" applyFill="1" applyBorder="1" applyAlignment="1" applyProtection="1">
      <alignment horizontal="center"/>
      <protection locked="0"/>
    </xf>
    <xf numFmtId="3" fontId="28" fillId="0" borderId="22" xfId="0" applyNumberFormat="1" applyFont="1" applyBorder="1"/>
    <xf numFmtId="4" fontId="28" fillId="0" borderId="0" xfId="0" applyNumberFormat="1" applyFont="1"/>
    <xf numFmtId="4" fontId="28" fillId="0" borderId="22" xfId="0" applyNumberFormat="1" applyFont="1" applyBorder="1"/>
    <xf numFmtId="0" fontId="0" fillId="0" borderId="0" xfId="0" applyBorder="1" applyAlignment="1">
      <alignment horizontal="left" vertical="center" wrapText="1"/>
    </xf>
    <xf numFmtId="0" fontId="28" fillId="0" borderId="15" xfId="0" applyFont="1" applyBorder="1" applyAlignment="1"/>
    <xf numFmtId="0" fontId="28" fillId="0" borderId="1" xfId="0" applyFont="1" applyBorder="1" applyAlignment="1">
      <alignment horizontal="center"/>
    </xf>
    <xf numFmtId="43" fontId="4" fillId="0" borderId="1" xfId="1" applyNumberFormat="1" applyFont="1" applyBorder="1"/>
    <xf numFmtId="0" fontId="30" fillId="0" borderId="11" xfId="0" applyFont="1" applyBorder="1"/>
    <xf numFmtId="43" fontId="5" fillId="3" borderId="11" xfId="1" applyNumberFormat="1" applyFont="1" applyFill="1" applyBorder="1"/>
    <xf numFmtId="5" fontId="5" fillId="3" borderId="11" xfId="1" applyNumberFormat="1" applyFont="1" applyFill="1" applyBorder="1"/>
    <xf numFmtId="43" fontId="4" fillId="3" borderId="27" xfId="1" applyNumberFormat="1" applyFont="1" applyFill="1" applyBorder="1"/>
    <xf numFmtId="5" fontId="4" fillId="3" borderId="27" xfId="1" applyNumberFormat="1" applyFont="1" applyFill="1" applyBorder="1"/>
    <xf numFmtId="0" fontId="55" fillId="0" borderId="27" xfId="0" applyFont="1" applyBorder="1" applyAlignment="1">
      <alignment horizontal="left"/>
    </xf>
    <xf numFmtId="164" fontId="0" fillId="0" borderId="0" xfId="1" applyNumberFormat="1" applyFont="1"/>
    <xf numFmtId="164" fontId="8" fillId="0" borderId="2" xfId="1" applyNumberFormat="1" applyFont="1" applyBorder="1" applyAlignment="1">
      <alignment horizontal="center" wrapText="1"/>
    </xf>
    <xf numFmtId="164" fontId="4" fillId="3" borderId="3" xfId="1" applyNumberFormat="1" applyFont="1" applyFill="1" applyBorder="1"/>
    <xf numFmtId="164" fontId="0" fillId="0" borderId="0" xfId="1" applyNumberFormat="1" applyFont="1" applyBorder="1"/>
    <xf numFmtId="0" fontId="28" fillId="0" borderId="6" xfId="0" applyFont="1" applyBorder="1" applyAlignment="1">
      <alignment horizontal="center"/>
    </xf>
    <xf numFmtId="43" fontId="4" fillId="0" borderId="5" xfId="1" applyNumberFormat="1" applyFont="1" applyBorder="1" applyAlignment="1">
      <alignment horizontal="center"/>
    </xf>
    <xf numFmtId="166" fontId="41" fillId="4" borderId="0" xfId="1" applyNumberFormat="1" applyFont="1" applyFill="1" applyBorder="1" applyProtection="1">
      <protection locked="0"/>
    </xf>
    <xf numFmtId="0" fontId="28" fillId="22" borderId="0" xfId="0" applyFont="1" applyFill="1" applyAlignment="1">
      <alignment horizontal="center"/>
    </xf>
    <xf numFmtId="0" fontId="28" fillId="17" borderId="39" xfId="0" applyFont="1" applyFill="1" applyBorder="1" applyAlignment="1">
      <alignment horizontal="centerContinuous"/>
    </xf>
    <xf numFmtId="0" fontId="28" fillId="17" borderId="30" xfId="0" applyFont="1" applyFill="1" applyBorder="1" applyAlignment="1">
      <alignment horizontal="centerContinuous"/>
    </xf>
    <xf numFmtId="0" fontId="28" fillId="23" borderId="39" xfId="0" applyFont="1" applyFill="1" applyBorder="1" applyAlignment="1">
      <alignment horizontal="centerContinuous"/>
    </xf>
    <xf numFmtId="0" fontId="28" fillId="23" borderId="40" xfId="0" applyFont="1" applyFill="1" applyBorder="1" applyAlignment="1">
      <alignment horizontal="centerContinuous"/>
    </xf>
    <xf numFmtId="0" fontId="28" fillId="23" borderId="30" xfId="0" applyFont="1" applyFill="1" applyBorder="1" applyAlignment="1">
      <alignment horizontal="centerContinuous"/>
    </xf>
    <xf numFmtId="0" fontId="28" fillId="24" borderId="39" xfId="0" applyFont="1" applyFill="1" applyBorder="1" applyAlignment="1">
      <alignment horizontal="center"/>
    </xf>
    <xf numFmtId="0" fontId="28" fillId="24" borderId="40" xfId="0" applyFont="1" applyFill="1" applyBorder="1" applyAlignment="1">
      <alignment horizontal="center"/>
    </xf>
    <xf numFmtId="0" fontId="57" fillId="15" borderId="46" xfId="0" applyFont="1" applyFill="1" applyBorder="1" applyAlignment="1">
      <alignment horizontal="center" vertical="center"/>
    </xf>
    <xf numFmtId="10" fontId="0" fillId="0" borderId="0" xfId="0" applyNumberFormat="1" applyBorder="1" applyAlignment="1">
      <alignment horizontal="center"/>
    </xf>
    <xf numFmtId="39" fontId="0" fillId="0" borderId="0" xfId="0" applyNumberFormat="1" applyBorder="1" applyAlignment="1">
      <alignment horizontal="center"/>
    </xf>
    <xf numFmtId="165" fontId="0" fillId="0" borderId="46" xfId="2" applyNumberFormat="1" applyFont="1" applyBorder="1" applyAlignment="1">
      <alignment horizontal="center"/>
    </xf>
    <xf numFmtId="4" fontId="0" fillId="0" borderId="0" xfId="0" applyNumberFormat="1" applyAlignment="1">
      <alignment horizontal="center"/>
    </xf>
    <xf numFmtId="165" fontId="0" fillId="0" borderId="0" xfId="2" applyNumberFormat="1" applyFont="1" applyAlignment="1">
      <alignment horizontal="center"/>
    </xf>
    <xf numFmtId="43" fontId="0" fillId="0" borderId="0" xfId="1" applyFont="1" applyAlignment="1">
      <alignment horizontal="center"/>
    </xf>
    <xf numFmtId="44" fontId="0" fillId="0" borderId="0" xfId="0" applyNumberFormat="1" applyAlignment="1">
      <alignment horizontal="center"/>
    </xf>
    <xf numFmtId="9" fontId="0" fillId="0" borderId="0" xfId="0" applyNumberFormat="1" applyAlignment="1">
      <alignment horizontal="center"/>
    </xf>
    <xf numFmtId="165" fontId="0" fillId="0" borderId="0" xfId="0" applyNumberFormat="1" applyAlignment="1">
      <alignment horizontal="center"/>
    </xf>
    <xf numFmtId="164" fontId="0" fillId="0" borderId="0" xfId="1" applyNumberFormat="1" applyFont="1" applyAlignment="1">
      <alignment horizontal="center"/>
    </xf>
    <xf numFmtId="7" fontId="0" fillId="0" borderId="0" xfId="0" applyNumberFormat="1" applyAlignment="1">
      <alignment horizontal="center"/>
    </xf>
    <xf numFmtId="0" fontId="0" fillId="0" borderId="0" xfId="0" applyBorder="1" applyAlignment="1">
      <alignment horizontal="center"/>
    </xf>
    <xf numFmtId="0" fontId="0" fillId="0" borderId="47" xfId="0" applyBorder="1" applyAlignment="1">
      <alignment horizontal="left" vertical="center" wrapText="1"/>
    </xf>
    <xf numFmtId="166" fontId="15" fillId="4" borderId="5" xfId="7" applyNumberFormat="1" applyFont="1" applyFill="1" applyBorder="1" applyAlignment="1" applyProtection="1">
      <alignment horizontal="center"/>
      <protection locked="0"/>
    </xf>
    <xf numFmtId="165" fontId="15" fillId="4" borderId="1" xfId="2" applyNumberFormat="1" applyFont="1" applyFill="1" applyBorder="1" applyAlignment="1" applyProtection="1">
      <alignment horizontal="right" indent="1"/>
      <protection locked="0"/>
    </xf>
    <xf numFmtId="165" fontId="0" fillId="0" borderId="0" xfId="2" applyNumberFormat="1" applyFont="1" applyBorder="1" applyAlignment="1">
      <alignment horizontal="center"/>
    </xf>
    <xf numFmtId="44" fontId="0" fillId="0" borderId="46" xfId="2" applyFont="1" applyBorder="1" applyAlignment="1">
      <alignment horizontal="center"/>
    </xf>
    <xf numFmtId="44" fontId="0" fillId="0" borderId="0" xfId="2" applyFont="1" applyAlignment="1">
      <alignment horizontal="center"/>
    </xf>
    <xf numFmtId="44" fontId="0" fillId="0" borderId="13" xfId="2" applyFont="1" applyBorder="1" applyAlignment="1">
      <alignment horizontal="center"/>
    </xf>
    <xf numFmtId="43" fontId="4" fillId="16" borderId="0" xfId="1" applyNumberFormat="1" applyFont="1" applyFill="1" applyBorder="1" applyProtection="1">
      <protection locked="0"/>
    </xf>
    <xf numFmtId="165" fontId="0" fillId="0" borderId="51" xfId="2" applyNumberFormat="1" applyFont="1" applyBorder="1" applyAlignment="1">
      <alignment horizontal="center"/>
    </xf>
    <xf numFmtId="0" fontId="28" fillId="0" borderId="0" xfId="0" applyFont="1" applyAlignment="1">
      <alignment horizontal="center"/>
    </xf>
    <xf numFmtId="0" fontId="28" fillId="25" borderId="27" xfId="0" applyFont="1" applyFill="1" applyBorder="1" applyAlignment="1">
      <alignment horizontal="center" vertical="top" wrapText="1"/>
    </xf>
    <xf numFmtId="0" fontId="28" fillId="25" borderId="42" xfId="0" applyFont="1" applyFill="1" applyBorder="1" applyAlignment="1">
      <alignment horizontal="center" vertical="top" wrapText="1"/>
    </xf>
    <xf numFmtId="0" fontId="28" fillId="26" borderId="43" xfId="0" applyFont="1" applyFill="1" applyBorder="1" applyAlignment="1">
      <alignment horizontal="center" vertical="top" wrapText="1"/>
    </xf>
    <xf numFmtId="0" fontId="28" fillId="26" borderId="42" xfId="0" applyFont="1" applyFill="1" applyBorder="1" applyAlignment="1">
      <alignment horizontal="center" vertical="top" wrapText="1"/>
    </xf>
    <xf numFmtId="0" fontId="28" fillId="27" borderId="26" xfId="0" applyFont="1" applyFill="1" applyBorder="1" applyAlignment="1">
      <alignment horizontal="center" vertical="top" wrapText="1"/>
    </xf>
    <xf numFmtId="0" fontId="28" fillId="27" borderId="27" xfId="0" applyFont="1" applyFill="1" applyBorder="1" applyAlignment="1">
      <alignment horizontal="center" vertical="top" wrapText="1"/>
    </xf>
    <xf numFmtId="0" fontId="28" fillId="27" borderId="42" xfId="0" applyFont="1" applyFill="1" applyBorder="1" applyAlignment="1">
      <alignment horizontal="center" vertical="top" wrapText="1"/>
    </xf>
    <xf numFmtId="0" fontId="28" fillId="27" borderId="43" xfId="0" applyFont="1" applyFill="1" applyBorder="1" applyAlignment="1">
      <alignment horizontal="center" vertical="top" wrapText="1"/>
    </xf>
    <xf numFmtId="0" fontId="28" fillId="27" borderId="44" xfId="0" applyFont="1" applyFill="1" applyBorder="1" applyAlignment="1">
      <alignment horizontal="center" vertical="top" wrapText="1"/>
    </xf>
    <xf numFmtId="0" fontId="28" fillId="25" borderId="26" xfId="0" applyFont="1" applyFill="1" applyBorder="1" applyAlignment="1">
      <alignment horizontal="center" vertical="top" wrapText="1"/>
    </xf>
    <xf numFmtId="44" fontId="28" fillId="25" borderId="27" xfId="0" applyNumberFormat="1" applyFont="1" applyFill="1" applyBorder="1" applyAlignment="1">
      <alignment horizontal="center" vertical="top" wrapText="1"/>
    </xf>
    <xf numFmtId="0" fontId="28" fillId="25" borderId="48" xfId="0" applyFont="1" applyFill="1" applyBorder="1" applyAlignment="1">
      <alignment horizontal="center" vertical="top" wrapText="1"/>
    </xf>
    <xf numFmtId="0" fontId="28" fillId="26" borderId="45" xfId="0" applyFont="1" applyFill="1" applyBorder="1" applyAlignment="1">
      <alignment horizontal="center" vertical="top" wrapText="1"/>
    </xf>
    <xf numFmtId="0" fontId="28" fillId="26" borderId="27" xfId="0" applyFont="1" applyFill="1" applyBorder="1" applyAlignment="1">
      <alignment horizontal="center" vertical="top" wrapText="1"/>
    </xf>
    <xf numFmtId="0" fontId="28" fillId="26" borderId="48" xfId="0" applyFont="1" applyFill="1" applyBorder="1" applyAlignment="1">
      <alignment horizontal="center" vertical="top" wrapText="1"/>
    </xf>
    <xf numFmtId="0" fontId="28" fillId="22" borderId="49" xfId="0" applyFont="1" applyFill="1" applyBorder="1" applyAlignment="1">
      <alignment horizontal="center" vertical="top" wrapText="1"/>
    </xf>
    <xf numFmtId="0" fontId="28" fillId="23" borderId="49" xfId="0" applyFont="1" applyFill="1" applyBorder="1" applyAlignment="1">
      <alignment horizontal="center" vertical="top" wrapText="1"/>
    </xf>
    <xf numFmtId="0" fontId="28" fillId="22" borderId="45" xfId="0" applyFont="1" applyFill="1" applyBorder="1" applyAlignment="1">
      <alignment horizontal="center" vertical="top" wrapText="1"/>
    </xf>
    <xf numFmtId="0" fontId="28" fillId="22" borderId="27" xfId="0" applyFont="1" applyFill="1" applyBorder="1" applyAlignment="1">
      <alignment horizontal="center" vertical="top" wrapText="1"/>
    </xf>
    <xf numFmtId="0" fontId="28" fillId="22" borderId="48" xfId="0" applyFont="1" applyFill="1" applyBorder="1" applyAlignment="1">
      <alignment horizontal="center" vertical="top" wrapText="1"/>
    </xf>
    <xf numFmtId="0" fontId="28" fillId="24" borderId="45" xfId="0" applyFont="1" applyFill="1" applyBorder="1" applyAlignment="1">
      <alignment horizontal="center" vertical="top" wrapText="1"/>
    </xf>
    <xf numFmtId="0" fontId="28" fillId="24" borderId="27" xfId="0" applyFont="1" applyFill="1" applyBorder="1" applyAlignment="1">
      <alignment horizontal="center" vertical="top" wrapText="1"/>
    </xf>
    <xf numFmtId="0" fontId="28" fillId="24" borderId="50" xfId="0" applyFont="1" applyFill="1" applyBorder="1" applyAlignment="1">
      <alignment horizontal="center" vertical="top" wrapText="1"/>
    </xf>
    <xf numFmtId="0" fontId="28" fillId="0" borderId="0" xfId="0" applyFont="1" applyAlignment="1">
      <alignment horizontal="center" vertical="top" wrapText="1"/>
    </xf>
    <xf numFmtId="0" fontId="57" fillId="15" borderId="41" xfId="0" applyFont="1" applyFill="1" applyBorder="1" applyAlignment="1">
      <alignment horizontal="center" vertical="top" wrapText="1"/>
    </xf>
    <xf numFmtId="9" fontId="0" fillId="0" borderId="0" xfId="7" applyFont="1" applyAlignment="1">
      <alignment horizontal="center"/>
    </xf>
    <xf numFmtId="0" fontId="0" fillId="0" borderId="0" xfId="0" applyAlignment="1">
      <alignment horizontal="center" vertical="top" wrapText="1"/>
    </xf>
    <xf numFmtId="0" fontId="28" fillId="26" borderId="0" xfId="0" applyFont="1" applyFill="1" applyAlignment="1">
      <alignment horizontal="center" vertical="top" wrapText="1"/>
    </xf>
    <xf numFmtId="0" fontId="28" fillId="22" borderId="0" xfId="0" applyFont="1" applyFill="1" applyAlignment="1">
      <alignment horizontal="center" vertical="top" wrapText="1"/>
    </xf>
    <xf numFmtId="0" fontId="28" fillId="23" borderId="40" xfId="0" applyFont="1" applyFill="1" applyBorder="1" applyAlignment="1">
      <alignment horizontal="center"/>
    </xf>
    <xf numFmtId="0" fontId="28" fillId="23" borderId="0" xfId="0" applyFont="1" applyFill="1" applyAlignment="1">
      <alignment horizontal="center" vertical="top" wrapText="1"/>
    </xf>
    <xf numFmtId="42" fontId="0" fillId="0" borderId="0" xfId="0" applyNumberFormat="1" applyAlignment="1">
      <alignment horizontal="center"/>
    </xf>
    <xf numFmtId="0" fontId="28" fillId="22" borderId="0" xfId="0" applyFont="1" applyFill="1" applyAlignment="1">
      <alignment horizontal="left"/>
    </xf>
    <xf numFmtId="9" fontId="0" fillId="0" borderId="0" xfId="0" applyNumberFormat="1"/>
    <xf numFmtId="0" fontId="60" fillId="0" borderId="0" xfId="0" applyFont="1" applyAlignment="1">
      <alignment vertical="top"/>
    </xf>
    <xf numFmtId="0" fontId="28" fillId="22" borderId="39" xfId="0" applyFont="1" applyFill="1" applyBorder="1" applyAlignment="1">
      <alignment horizontal="center"/>
    </xf>
    <xf numFmtId="0" fontId="28" fillId="22" borderId="40" xfId="0" applyFont="1" applyFill="1" applyBorder="1" applyAlignment="1">
      <alignment horizontal="center"/>
    </xf>
    <xf numFmtId="0" fontId="28" fillId="26" borderId="40" xfId="0" applyFont="1" applyFill="1" applyBorder="1" applyAlignment="1">
      <alignment horizontal="center"/>
    </xf>
    <xf numFmtId="0" fontId="28" fillId="26" borderId="30" xfId="0" applyFont="1" applyFill="1" applyBorder="1" applyAlignment="1">
      <alignment horizontal="center"/>
    </xf>
    <xf numFmtId="0" fontId="28" fillId="22" borderId="34" xfId="0" applyFont="1" applyFill="1" applyBorder="1" applyAlignment="1">
      <alignment horizontal="center" vertical="top" wrapText="1"/>
    </xf>
    <xf numFmtId="44" fontId="0" fillId="0" borderId="46" xfId="0" applyNumberFormat="1" applyBorder="1" applyAlignment="1">
      <alignment horizontal="center"/>
    </xf>
    <xf numFmtId="0" fontId="28" fillId="23" borderId="34" xfId="0" applyFont="1" applyFill="1" applyBorder="1" applyAlignment="1">
      <alignment horizontal="center" vertical="top" wrapText="1"/>
    </xf>
    <xf numFmtId="9" fontId="0" fillId="0" borderId="46" xfId="0" applyNumberFormat="1" applyBorder="1" applyAlignment="1">
      <alignment horizontal="center"/>
    </xf>
    <xf numFmtId="0" fontId="28" fillId="26" borderId="34" xfId="0" applyFont="1" applyFill="1" applyBorder="1" applyAlignment="1">
      <alignment horizontal="center" vertical="top" wrapText="1"/>
    </xf>
    <xf numFmtId="10" fontId="0" fillId="0" borderId="46" xfId="0" applyNumberFormat="1" applyBorder="1" applyAlignment="1">
      <alignment horizontal="center"/>
    </xf>
    <xf numFmtId="164" fontId="0" fillId="0" borderId="46" xfId="1" applyNumberFormat="1" applyFont="1" applyBorder="1" applyAlignment="1">
      <alignment horizontal="center"/>
    </xf>
    <xf numFmtId="42" fontId="0" fillId="0" borderId="46" xfId="0" applyNumberFormat="1" applyBorder="1" applyAlignment="1">
      <alignment horizontal="center"/>
    </xf>
    <xf numFmtId="43" fontId="0" fillId="0" borderId="46" xfId="1" applyFont="1" applyBorder="1" applyAlignment="1">
      <alignment horizontal="center"/>
    </xf>
    <xf numFmtId="177" fontId="0" fillId="0" borderId="0" xfId="0" applyNumberFormat="1" applyAlignment="1">
      <alignment horizontal="center"/>
    </xf>
    <xf numFmtId="178" fontId="0" fillId="0" borderId="0" xfId="0" applyNumberFormat="1" applyAlignment="1">
      <alignment horizontal="center"/>
    </xf>
    <xf numFmtId="175" fontId="0" fillId="0" borderId="0" xfId="1" applyNumberFormat="1" applyFont="1" applyAlignment="1">
      <alignment horizontal="center"/>
    </xf>
    <xf numFmtId="178" fontId="0" fillId="0" borderId="0" xfId="0" applyNumberFormat="1" applyBorder="1" applyAlignment="1">
      <alignment horizontal="center"/>
    </xf>
    <xf numFmtId="0" fontId="3" fillId="0" borderId="0" xfId="0" applyFont="1" applyAlignment="1" applyProtection="1">
      <protection locked="0"/>
    </xf>
    <xf numFmtId="0" fontId="0" fillId="0" borderId="0" xfId="0" applyFont="1" applyProtection="1">
      <protection locked="0"/>
    </xf>
    <xf numFmtId="43" fontId="4" fillId="0" borderId="0" xfId="1" applyNumberFormat="1" applyFont="1" applyAlignment="1" applyProtection="1">
      <protection locked="0"/>
    </xf>
    <xf numFmtId="43" fontId="7" fillId="0" borderId="0" xfId="1" applyNumberFormat="1" applyFont="1" applyAlignment="1" applyProtection="1">
      <alignment horizontal="center"/>
      <protection locked="0"/>
    </xf>
    <xf numFmtId="0" fontId="6" fillId="0" borderId="0" xfId="0" applyFont="1" applyBorder="1" applyAlignment="1" applyProtection="1">
      <alignment horizontal="center"/>
      <protection locked="0"/>
    </xf>
    <xf numFmtId="0" fontId="4" fillId="0" borderId="0" xfId="0" applyFont="1" applyFill="1" applyAlignment="1" applyProtection="1">
      <protection locked="0"/>
    </xf>
    <xf numFmtId="0" fontId="0" fillId="0" borderId="0" xfId="0" applyFont="1" applyAlignment="1" applyProtection="1">
      <protection locked="0"/>
    </xf>
    <xf numFmtId="0" fontId="3" fillId="0" borderId="0" xfId="0" applyFont="1" applyProtection="1">
      <protection locked="0"/>
    </xf>
    <xf numFmtId="43" fontId="7" fillId="0" borderId="0" xfId="1" applyNumberFormat="1" applyFont="1" applyProtection="1">
      <protection locked="0"/>
    </xf>
    <xf numFmtId="0" fontId="4" fillId="3" borderId="1" xfId="0" applyFont="1" applyFill="1" applyBorder="1" applyAlignment="1" applyProtection="1">
      <alignment horizontal="center"/>
      <protection locked="0"/>
    </xf>
    <xf numFmtId="0" fontId="0" fillId="0" borderId="0" xfId="0" applyBorder="1" applyProtection="1">
      <protection locked="0"/>
    </xf>
    <xf numFmtId="0" fontId="0" fillId="0" borderId="0" xfId="0" applyFont="1" applyFill="1" applyProtection="1">
      <protection locked="0"/>
    </xf>
    <xf numFmtId="0" fontId="0" fillId="0" borderId="0" xfId="0" applyFont="1" applyAlignment="1" applyProtection="1">
      <alignment horizontal="center"/>
      <protection locked="0"/>
    </xf>
    <xf numFmtId="0" fontId="4" fillId="4" borderId="1" xfId="0" applyFont="1" applyFill="1" applyBorder="1" applyAlignment="1" applyProtection="1">
      <alignment horizontal="center"/>
      <protection locked="0"/>
    </xf>
    <xf numFmtId="0" fontId="9" fillId="0" borderId="0" xfId="0" applyFont="1" applyFill="1" applyAlignment="1" applyProtection="1">
      <alignment horizontal="center"/>
      <protection locked="0"/>
    </xf>
    <xf numFmtId="0" fontId="28" fillId="0" borderId="0" xfId="0" applyFont="1" applyAlignment="1" applyProtection="1">
      <alignment horizontal="left"/>
      <protection locked="0"/>
    </xf>
    <xf numFmtId="164" fontId="7" fillId="0" borderId="0" xfId="1" applyNumberFormat="1" applyFont="1" applyProtection="1">
      <protection locked="0"/>
    </xf>
    <xf numFmtId="0" fontId="0" fillId="0" borderId="0" xfId="0" applyFont="1" applyFill="1" applyBorder="1" applyProtection="1">
      <protection locked="0"/>
    </xf>
    <xf numFmtId="0" fontId="0" fillId="0" borderId="0" xfId="0" applyAlignment="1" applyProtection="1">
      <alignment horizontal="left"/>
      <protection locked="0"/>
    </xf>
    <xf numFmtId="0" fontId="28" fillId="0" borderId="15" xfId="0" applyFont="1" applyBorder="1" applyAlignment="1" applyProtection="1">
      <protection locked="0"/>
    </xf>
    <xf numFmtId="0" fontId="28" fillId="0" borderId="1" xfId="0" applyFont="1" applyBorder="1" applyAlignment="1" applyProtection="1">
      <alignment horizontal="center"/>
      <protection locked="0"/>
    </xf>
    <xf numFmtId="43" fontId="4" fillId="0" borderId="1" xfId="1" applyNumberFormat="1" applyFont="1" applyBorder="1" applyProtection="1">
      <protection locked="0"/>
    </xf>
    <xf numFmtId="0" fontId="30" fillId="0" borderId="1" xfId="0" applyFont="1" applyBorder="1" applyProtection="1">
      <protection locked="0"/>
    </xf>
    <xf numFmtId="0" fontId="0" fillId="0" borderId="0" xfId="0" applyProtection="1">
      <protection locked="0"/>
    </xf>
    <xf numFmtId="0" fontId="4" fillId="0" borderId="0" xfId="0" applyFont="1" applyBorder="1" applyAlignment="1" applyProtection="1">
      <alignment horizontal="center"/>
      <protection locked="0"/>
    </xf>
    <xf numFmtId="0" fontId="30" fillId="0" borderId="11" xfId="0" applyFont="1" applyBorder="1" applyProtection="1">
      <protection locked="0"/>
    </xf>
    <xf numFmtId="168" fontId="0" fillId="0" borderId="0" xfId="0" applyNumberFormat="1" applyFont="1" applyProtection="1">
      <protection locked="0"/>
    </xf>
    <xf numFmtId="0" fontId="55" fillId="0" borderId="27" xfId="0" applyFont="1" applyBorder="1" applyAlignment="1" applyProtection="1">
      <alignment horizontal="left"/>
      <protection locked="0"/>
    </xf>
    <xf numFmtId="0" fontId="4" fillId="0" borderId="0" xfId="0" applyFont="1" applyProtection="1">
      <protection locked="0"/>
    </xf>
    <xf numFmtId="0" fontId="4" fillId="0" borderId="0" xfId="0" applyFont="1" applyBorder="1" applyProtection="1">
      <protection locked="0"/>
    </xf>
    <xf numFmtId="0" fontId="10" fillId="0" borderId="2" xfId="0" applyFont="1" applyBorder="1" applyAlignment="1" applyProtection="1">
      <alignment horizontal="center" wrapText="1"/>
      <protection locked="0"/>
    </xf>
    <xf numFmtId="43" fontId="10" fillId="0" borderId="2" xfId="1" applyNumberFormat="1" applyFont="1" applyBorder="1" applyAlignment="1" applyProtection="1">
      <alignment horizontal="center" wrapText="1"/>
      <protection locked="0"/>
    </xf>
    <xf numFmtId="43" fontId="8" fillId="0" borderId="2" xfId="1" applyNumberFormat="1" applyFont="1" applyBorder="1" applyAlignment="1" applyProtection="1">
      <alignment horizontal="center" wrapText="1"/>
      <protection locked="0"/>
    </xf>
    <xf numFmtId="0" fontId="4" fillId="0" borderId="3" xfId="0" applyFont="1" applyBorder="1" applyAlignment="1" applyProtection="1">
      <alignment horizontal="center"/>
      <protection locked="0"/>
    </xf>
    <xf numFmtId="0" fontId="4" fillId="0" borderId="3" xfId="0" applyFont="1" applyBorder="1" applyProtection="1">
      <protection locked="0"/>
    </xf>
    <xf numFmtId="43" fontId="4" fillId="3" borderId="3" xfId="1" applyNumberFormat="1" applyFont="1" applyFill="1" applyBorder="1" applyProtection="1">
      <protection locked="0"/>
    </xf>
    <xf numFmtId="43" fontId="4" fillId="3" borderId="3" xfId="1" applyNumberFormat="1" applyFont="1" applyFill="1" applyBorder="1" applyAlignment="1" applyProtection="1">
      <alignment horizontal="center"/>
      <protection locked="0"/>
    </xf>
    <xf numFmtId="39" fontId="4" fillId="3" borderId="3" xfId="1" applyNumberFormat="1" applyFont="1" applyFill="1" applyBorder="1" applyProtection="1">
      <protection locked="0"/>
    </xf>
    <xf numFmtId="5" fontId="4" fillId="3" borderId="3" xfId="1" applyNumberFormat="1" applyFont="1" applyFill="1" applyBorder="1" applyProtection="1">
      <protection locked="0"/>
    </xf>
    <xf numFmtId="0" fontId="11" fillId="5" borderId="0" xfId="0" applyFont="1" applyFill="1" applyProtection="1">
      <protection locked="0"/>
    </xf>
    <xf numFmtId="43" fontId="7" fillId="5" borderId="0" xfId="1" applyNumberFormat="1" applyFont="1" applyFill="1" applyProtection="1">
      <protection locked="0"/>
    </xf>
    <xf numFmtId="43" fontId="7" fillId="5" borderId="0" xfId="1" applyNumberFormat="1" applyFont="1" applyFill="1" applyAlignment="1" applyProtection="1">
      <alignment horizontal="center"/>
      <protection locked="0"/>
    </xf>
    <xf numFmtId="164" fontId="7" fillId="0" borderId="0" xfId="1" applyNumberFormat="1" applyFont="1" applyBorder="1" applyProtection="1">
      <protection locked="0"/>
    </xf>
    <xf numFmtId="0" fontId="0" fillId="0" borderId="0" xfId="0" applyFont="1" applyBorder="1" applyProtection="1">
      <protection locked="0"/>
    </xf>
    <xf numFmtId="0" fontId="4" fillId="0" borderId="3" xfId="0" applyFont="1" applyFill="1" applyBorder="1" applyProtection="1">
      <protection locked="0"/>
    </xf>
    <xf numFmtId="0" fontId="4" fillId="0" borderId="3" xfId="0" quotePrefix="1" applyFont="1" applyBorder="1" applyAlignment="1" applyProtection="1">
      <alignment horizontal="center"/>
      <protection locked="0"/>
    </xf>
    <xf numFmtId="0" fontId="0" fillId="0" borderId="0" xfId="0" quotePrefix="1" applyAlignment="1" applyProtection="1">
      <alignment horizontal="center"/>
      <protection locked="0"/>
    </xf>
    <xf numFmtId="0" fontId="0" fillId="0" borderId="0" xfId="0" applyAlignment="1" applyProtection="1">
      <alignment horizontal="center"/>
      <protection locked="0"/>
    </xf>
    <xf numFmtId="43" fontId="5" fillId="3" borderId="5" xfId="1" applyNumberFormat="1" applyFont="1" applyFill="1" applyBorder="1" applyProtection="1"/>
    <xf numFmtId="5" fontId="5" fillId="3" borderId="5" xfId="1" applyNumberFormat="1" applyFont="1" applyFill="1" applyBorder="1" applyProtection="1"/>
    <xf numFmtId="43" fontId="5" fillId="3" borderId="11" xfId="1" applyNumberFormat="1" applyFont="1" applyFill="1" applyBorder="1" applyProtection="1"/>
    <xf numFmtId="5" fontId="5" fillId="3" borderId="11" xfId="1" applyNumberFormat="1" applyFont="1" applyFill="1" applyBorder="1" applyProtection="1"/>
    <xf numFmtId="43" fontId="4" fillId="3" borderId="27" xfId="1" applyNumberFormat="1" applyFont="1" applyFill="1" applyBorder="1" applyProtection="1"/>
    <xf numFmtId="5" fontId="4" fillId="3" borderId="27" xfId="1" applyNumberFormat="1" applyFont="1" applyFill="1" applyBorder="1" applyProtection="1"/>
    <xf numFmtId="0" fontId="4" fillId="0" borderId="3" xfId="0" applyFont="1" applyBorder="1" applyAlignment="1" applyProtection="1">
      <alignment horizontal="center"/>
    </xf>
    <xf numFmtId="0" fontId="4" fillId="0" borderId="3" xfId="0" applyFont="1" applyBorder="1" applyProtection="1"/>
    <xf numFmtId="43" fontId="4" fillId="3" borderId="3" xfId="1" applyNumberFormat="1" applyFont="1" applyFill="1" applyBorder="1" applyProtection="1"/>
    <xf numFmtId="43" fontId="4" fillId="3" borderId="3" xfId="1" applyNumberFormat="1" applyFont="1" applyFill="1" applyBorder="1" applyAlignment="1" applyProtection="1">
      <alignment horizontal="center"/>
    </xf>
    <xf numFmtId="39" fontId="4" fillId="3" borderId="3" xfId="1" applyNumberFormat="1" applyFont="1" applyFill="1" applyBorder="1" applyProtection="1"/>
    <xf numFmtId="5" fontId="4" fillId="3" borderId="2" xfId="1" applyNumberFormat="1" applyFont="1" applyFill="1" applyBorder="1" applyProtection="1"/>
    <xf numFmtId="39" fontId="4" fillId="3" borderId="2" xfId="1" applyNumberFormat="1" applyFont="1" applyFill="1" applyBorder="1" applyProtection="1"/>
    <xf numFmtId="5" fontId="4" fillId="3" borderId="3" xfId="1" applyNumberFormat="1" applyFont="1" applyFill="1" applyBorder="1" applyProtection="1"/>
    <xf numFmtId="43" fontId="5" fillId="3" borderId="0" xfId="1" applyNumberFormat="1" applyFont="1" applyFill="1" applyBorder="1" applyProtection="1"/>
    <xf numFmtId="164" fontId="5" fillId="3" borderId="0" xfId="1" applyNumberFormat="1" applyFont="1" applyFill="1" applyBorder="1" applyProtection="1"/>
    <xf numFmtId="0" fontId="38" fillId="0" borderId="0" xfId="0" applyFont="1" applyAlignment="1" applyProtection="1">
      <protection locked="0"/>
    </xf>
    <xf numFmtId="171" fontId="0" fillId="0" borderId="0" xfId="0" applyNumberFormat="1" applyFont="1" applyAlignment="1" applyProtection="1">
      <alignment horizontal="right"/>
      <protection locked="0"/>
    </xf>
    <xf numFmtId="0" fontId="43" fillId="0" borderId="0" xfId="0" applyFont="1" applyBorder="1" applyAlignment="1" applyProtection="1">
      <alignment horizontal="center"/>
      <protection locked="0"/>
    </xf>
    <xf numFmtId="0" fontId="38" fillId="0" borderId="0" xfId="0" applyFont="1" applyProtection="1">
      <protection locked="0"/>
    </xf>
    <xf numFmtId="0" fontId="41" fillId="2" borderId="1" xfId="0" applyFont="1" applyFill="1" applyBorder="1" applyAlignment="1" applyProtection="1">
      <alignment horizontal="center"/>
      <protection locked="0"/>
    </xf>
    <xf numFmtId="0" fontId="41" fillId="0" borderId="0" xfId="0" applyFont="1" applyAlignment="1" applyProtection="1">
      <alignment horizontal="centerContinuous"/>
      <protection locked="0"/>
    </xf>
    <xf numFmtId="43" fontId="40" fillId="0" borderId="0" xfId="1" applyNumberFormat="1" applyFont="1" applyProtection="1">
      <protection locked="0"/>
    </xf>
    <xf numFmtId="171" fontId="40" fillId="0" borderId="0" xfId="1" applyNumberFormat="1" applyFont="1" applyAlignment="1" applyProtection="1">
      <alignment horizontal="right"/>
      <protection locked="0"/>
    </xf>
    <xf numFmtId="0" fontId="41" fillId="3" borderId="1" xfId="0" applyFont="1" applyFill="1" applyBorder="1" applyAlignment="1" applyProtection="1">
      <alignment horizontal="center"/>
      <protection locked="0"/>
    </xf>
    <xf numFmtId="0" fontId="41" fillId="0" borderId="0" xfId="0" applyFont="1" applyAlignment="1" applyProtection="1">
      <protection locked="0"/>
    </xf>
    <xf numFmtId="0" fontId="41" fillId="4" borderId="1" xfId="0" applyFont="1" applyFill="1" applyBorder="1" applyAlignment="1" applyProtection="1">
      <alignment horizontal="center"/>
      <protection locked="0"/>
    </xf>
    <xf numFmtId="0" fontId="39" fillId="0" borderId="0" xfId="0" applyFont="1" applyAlignment="1" applyProtection="1">
      <protection locked="0"/>
    </xf>
    <xf numFmtId="0" fontId="41" fillId="3" borderId="23" xfId="0" applyFont="1" applyFill="1" applyBorder="1" applyAlignment="1" applyProtection="1">
      <alignment horizontal="center"/>
      <protection locked="0"/>
    </xf>
    <xf numFmtId="0" fontId="41" fillId="3" borderId="24" xfId="0" applyFont="1" applyFill="1" applyBorder="1" applyAlignment="1" applyProtection="1">
      <alignment horizontal="center"/>
      <protection locked="0"/>
    </xf>
    <xf numFmtId="43" fontId="41" fillId="3" borderId="3" xfId="1" applyNumberFormat="1" applyFont="1" applyFill="1" applyBorder="1" applyAlignment="1" applyProtection="1">
      <alignment horizontal="center"/>
      <protection locked="0"/>
    </xf>
    <xf numFmtId="171" fontId="41" fillId="3" borderId="24" xfId="1" applyNumberFormat="1" applyFont="1" applyFill="1" applyBorder="1" applyAlignment="1" applyProtection="1">
      <alignment horizontal="center" vertical="center" wrapText="1"/>
      <protection locked="0"/>
    </xf>
    <xf numFmtId="43" fontId="42" fillId="0" borderId="0" xfId="1" applyNumberFormat="1" applyFont="1" applyProtection="1">
      <protection locked="0"/>
    </xf>
    <xf numFmtId="171" fontId="41" fillId="3" borderId="12" xfId="1" applyNumberFormat="1" applyFont="1" applyFill="1" applyBorder="1" applyAlignment="1" applyProtection="1">
      <alignment horizontal="left" vertical="center"/>
      <protection locked="0"/>
    </xf>
    <xf numFmtId="171" fontId="41" fillId="3" borderId="17" xfId="1" applyNumberFormat="1" applyFont="1" applyFill="1" applyBorder="1" applyAlignment="1" applyProtection="1">
      <alignment horizontal="left" vertical="center"/>
      <protection locked="0"/>
    </xf>
    <xf numFmtId="171" fontId="41" fillId="3" borderId="6" xfId="1" applyNumberFormat="1" applyFont="1" applyFill="1" applyBorder="1" applyAlignment="1" applyProtection="1">
      <alignment horizontal="left" vertical="center"/>
      <protection locked="0"/>
    </xf>
    <xf numFmtId="164" fontId="0" fillId="0" borderId="0" xfId="0" applyNumberFormat="1" applyFont="1" applyProtection="1">
      <protection locked="0"/>
    </xf>
    <xf numFmtId="0" fontId="0" fillId="0" borderId="0" xfId="0" applyFont="1" applyAlignment="1" applyProtection="1">
      <alignment horizontal="right"/>
      <protection locked="0"/>
    </xf>
    <xf numFmtId="0" fontId="28" fillId="0" borderId="0" xfId="0" applyFont="1" applyProtection="1">
      <protection locked="0"/>
    </xf>
    <xf numFmtId="7" fontId="0" fillId="0" borderId="0" xfId="0" applyNumberFormat="1" applyFont="1" applyProtection="1">
      <protection locked="0"/>
    </xf>
    <xf numFmtId="2" fontId="0" fillId="0" borderId="0" xfId="0" applyNumberFormat="1" applyFont="1" applyProtection="1">
      <protection locked="0"/>
    </xf>
    <xf numFmtId="0" fontId="42" fillId="5" borderId="12" xfId="0" applyFont="1" applyFill="1" applyBorder="1" applyProtection="1">
      <protection locked="0"/>
    </xf>
    <xf numFmtId="0" fontId="42" fillId="5" borderId="17" xfId="0" applyFont="1" applyFill="1" applyBorder="1" applyAlignment="1" applyProtection="1">
      <alignment horizontal="right"/>
      <protection locked="0"/>
    </xf>
    <xf numFmtId="0" fontId="42" fillId="5" borderId="6" xfId="0" applyFont="1" applyFill="1" applyBorder="1" applyAlignment="1" applyProtection="1">
      <alignment horizontal="right"/>
      <protection locked="0"/>
    </xf>
    <xf numFmtId="0" fontId="41" fillId="0" borderId="0" xfId="0" applyFont="1" applyFill="1" applyProtection="1">
      <protection locked="0"/>
    </xf>
    <xf numFmtId="0" fontId="41" fillId="0" borderId="0" xfId="0" applyFont="1" applyFill="1" applyAlignment="1" applyProtection="1">
      <alignment horizontal="right"/>
      <protection locked="0"/>
    </xf>
    <xf numFmtId="0" fontId="35" fillId="14" borderId="12" xfId="12" applyFont="1" applyBorder="1" applyAlignment="1" applyProtection="1">
      <protection locked="0"/>
    </xf>
    <xf numFmtId="0" fontId="35" fillId="14" borderId="17" xfId="12" applyFont="1" applyBorder="1" applyAlignment="1" applyProtection="1">
      <protection locked="0"/>
    </xf>
    <xf numFmtId="0" fontId="35" fillId="14" borderId="6" xfId="12" applyFont="1" applyBorder="1" applyAlignment="1" applyProtection="1">
      <protection locked="0"/>
    </xf>
    <xf numFmtId="0" fontId="0" fillId="0" borderId="16" xfId="0" applyFont="1" applyBorder="1" applyProtection="1">
      <protection locked="0"/>
    </xf>
    <xf numFmtId="0" fontId="0" fillId="0" borderId="4" xfId="0" applyFont="1" applyBorder="1" applyProtection="1">
      <protection locked="0"/>
    </xf>
    <xf numFmtId="0" fontId="41" fillId="3" borderId="28" xfId="0" applyFont="1" applyFill="1" applyBorder="1" applyAlignment="1" applyProtection="1">
      <alignment horizontal="center"/>
      <protection locked="0"/>
    </xf>
    <xf numFmtId="0" fontId="42" fillId="3" borderId="2" xfId="0" applyFont="1" applyFill="1" applyBorder="1" applyAlignment="1" applyProtection="1">
      <alignment horizontal="center"/>
      <protection locked="0"/>
    </xf>
    <xf numFmtId="43" fontId="41" fillId="3" borderId="20" xfId="1" applyNumberFormat="1" applyFont="1" applyFill="1" applyBorder="1" applyAlignment="1" applyProtection="1">
      <alignment horizontal="center"/>
      <protection locked="0"/>
    </xf>
    <xf numFmtId="171" fontId="41" fillId="3" borderId="34" xfId="1" applyNumberFormat="1" applyFont="1" applyFill="1" applyBorder="1" applyAlignment="1" applyProtection="1">
      <alignment horizontal="center" vertical="center" wrapText="1"/>
      <protection locked="0"/>
    </xf>
    <xf numFmtId="43" fontId="41" fillId="3" borderId="13" xfId="1" applyNumberFormat="1" applyFont="1" applyFill="1" applyBorder="1" applyAlignment="1" applyProtection="1">
      <alignment horizontal="center"/>
      <protection locked="0"/>
    </xf>
    <xf numFmtId="171" fontId="41" fillId="3" borderId="10" xfId="1" applyNumberFormat="1" applyFont="1" applyFill="1" applyBorder="1" applyAlignment="1" applyProtection="1">
      <alignment horizontal="center" vertical="center" wrapText="1"/>
      <protection locked="0"/>
    </xf>
    <xf numFmtId="164" fontId="0" fillId="0" borderId="0" xfId="0" applyNumberFormat="1" applyFont="1" applyAlignment="1" applyProtection="1">
      <alignment horizontal="center"/>
      <protection locked="0"/>
    </xf>
    <xf numFmtId="165" fontId="0" fillId="0" borderId="0" xfId="0" applyNumberFormat="1" applyFont="1" applyProtection="1">
      <protection locked="0"/>
    </xf>
    <xf numFmtId="43" fontId="0" fillId="0" borderId="0" xfId="0" applyNumberFormat="1" applyFont="1" applyProtection="1">
      <protection locked="0"/>
    </xf>
    <xf numFmtId="39" fontId="0" fillId="0" borderId="0" xfId="0" applyNumberFormat="1" applyFont="1" applyProtection="1">
      <protection locked="0"/>
    </xf>
    <xf numFmtId="5" fontId="0" fillId="0" borderId="0" xfId="0" applyNumberFormat="1" applyFont="1" applyProtection="1">
      <protection locked="0"/>
    </xf>
    <xf numFmtId="4" fontId="41" fillId="3" borderId="1" xfId="1" applyNumberFormat="1" applyFont="1" applyFill="1" applyBorder="1" applyProtection="1"/>
    <xf numFmtId="171" fontId="41" fillId="3" borderId="1" xfId="1" applyNumberFormat="1" applyFont="1" applyFill="1" applyBorder="1" applyProtection="1"/>
    <xf numFmtId="171" fontId="42" fillId="3" borderId="18" xfId="1" applyNumberFormat="1" applyFont="1" applyFill="1" applyBorder="1" applyProtection="1"/>
    <xf numFmtId="171" fontId="42" fillId="3" borderId="4" xfId="1" applyNumberFormat="1" applyFont="1" applyFill="1" applyBorder="1" applyProtection="1"/>
    <xf numFmtId="3" fontId="0" fillId="0" borderId="0" xfId="0" applyNumberFormat="1" applyFont="1" applyProtection="1"/>
    <xf numFmtId="3" fontId="42" fillId="3" borderId="0" xfId="1" applyNumberFormat="1" applyFont="1" applyFill="1" applyBorder="1" applyProtection="1"/>
    <xf numFmtId="171" fontId="41" fillId="3" borderId="22" xfId="1" applyNumberFormat="1" applyFont="1" applyFill="1" applyBorder="1" applyProtection="1"/>
    <xf numFmtId="0" fontId="42" fillId="3" borderId="23" xfId="0" applyFont="1" applyFill="1" applyBorder="1" applyAlignment="1" applyProtection="1">
      <alignment horizontal="left"/>
    </xf>
    <xf numFmtId="0" fontId="42" fillId="3" borderId="3" xfId="0" applyFont="1" applyFill="1" applyBorder="1" applyAlignment="1" applyProtection="1">
      <alignment horizontal="center"/>
    </xf>
    <xf numFmtId="43" fontId="42" fillId="3" borderId="20" xfId="1" applyNumberFormat="1" applyFont="1" applyFill="1" applyBorder="1" applyAlignment="1" applyProtection="1">
      <alignment horizontal="center" vertical="center"/>
    </xf>
    <xf numFmtId="171" fontId="42" fillId="3" borderId="21" xfId="1" applyNumberFormat="1" applyFont="1" applyFill="1" applyBorder="1" applyAlignment="1" applyProtection="1">
      <alignment horizontal="right" vertical="center" wrapText="1"/>
    </xf>
    <xf numFmtId="43" fontId="42" fillId="3" borderId="33" xfId="1" applyNumberFormat="1" applyFont="1" applyFill="1" applyBorder="1" applyAlignment="1" applyProtection="1">
      <alignment horizontal="center" vertical="center"/>
    </xf>
    <xf numFmtId="171" fontId="42" fillId="3" borderId="25" xfId="1" applyNumberFormat="1" applyFont="1" applyFill="1" applyBorder="1" applyAlignment="1" applyProtection="1">
      <alignment horizontal="right" vertical="center" wrapText="1"/>
    </xf>
    <xf numFmtId="0" fontId="42" fillId="3" borderId="14" xfId="0" applyFont="1" applyFill="1" applyBorder="1" applyAlignment="1" applyProtection="1">
      <alignment horizontal="left"/>
    </xf>
    <xf numFmtId="0" fontId="42" fillId="3" borderId="13" xfId="0" applyFont="1" applyFill="1" applyBorder="1" applyAlignment="1" applyProtection="1">
      <alignment horizontal="center"/>
    </xf>
    <xf numFmtId="0" fontId="36" fillId="15" borderId="31" xfId="0" applyFont="1" applyFill="1" applyBorder="1" applyProtection="1"/>
    <xf numFmtId="0" fontId="36" fillId="15" borderId="30" xfId="0" applyFont="1" applyFill="1" applyBorder="1" applyProtection="1"/>
    <xf numFmtId="2" fontId="36" fillId="15" borderId="35" xfId="0" applyNumberFormat="1" applyFont="1" applyFill="1" applyBorder="1" applyProtection="1"/>
    <xf numFmtId="171" fontId="36" fillId="15" borderId="36" xfId="2" applyNumberFormat="1" applyFont="1" applyFill="1" applyBorder="1" applyAlignment="1" applyProtection="1">
      <alignment horizontal="right"/>
    </xf>
    <xf numFmtId="2" fontId="36" fillId="15" borderId="32" xfId="0" applyNumberFormat="1" applyFont="1" applyFill="1" applyBorder="1" applyProtection="1"/>
    <xf numFmtId="165" fontId="36" fillId="15" borderId="29" xfId="2" applyNumberFormat="1" applyFont="1" applyFill="1" applyBorder="1" applyProtection="1"/>
    <xf numFmtId="2" fontId="36" fillId="15" borderId="37" xfId="0" applyNumberFormat="1" applyFont="1" applyFill="1" applyBorder="1" applyProtection="1"/>
    <xf numFmtId="171" fontId="36" fillId="15" borderId="38" xfId="2" applyNumberFormat="1" applyFont="1" applyFill="1" applyBorder="1" applyAlignment="1" applyProtection="1">
      <alignment horizontal="right"/>
    </xf>
    <xf numFmtId="165" fontId="36" fillId="15" borderId="38" xfId="2" applyNumberFormat="1" applyFont="1" applyFill="1" applyBorder="1" applyProtection="1"/>
    <xf numFmtId="0" fontId="0" fillId="0" borderId="0" xfId="0" applyAlignment="1" applyProtection="1">
      <alignment vertical="center"/>
      <protection locked="0"/>
    </xf>
    <xf numFmtId="0" fontId="14" fillId="0" borderId="0" xfId="6" applyFont="1" applyBorder="1" applyProtection="1">
      <protection locked="0"/>
    </xf>
    <xf numFmtId="0" fontId="28" fillId="0" borderId="0" xfId="6" applyFont="1" applyBorder="1" applyAlignment="1" applyProtection="1">
      <alignment horizontal="center" wrapText="1"/>
      <protection locked="0"/>
    </xf>
    <xf numFmtId="0" fontId="28" fillId="0" borderId="18" xfId="0" applyFont="1" applyBorder="1" applyAlignment="1" applyProtection="1">
      <alignment horizontal="center"/>
      <protection locked="0"/>
    </xf>
    <xf numFmtId="0" fontId="25" fillId="0" borderId="1" xfId="6" applyBorder="1" applyProtection="1">
      <protection locked="0"/>
    </xf>
    <xf numFmtId="0" fontId="28" fillId="0" borderId="15" xfId="0" applyFont="1" applyBorder="1" applyAlignment="1" applyProtection="1">
      <alignment horizontal="right" vertical="center"/>
      <protection locked="0"/>
    </xf>
    <xf numFmtId="0" fontId="28" fillId="0" borderId="0" xfId="0" applyFont="1" applyAlignment="1" applyProtection="1">
      <alignment horizontal="right" vertical="center"/>
      <protection locked="0"/>
    </xf>
    <xf numFmtId="0" fontId="0" fillId="0" borderId="7" xfId="0" applyBorder="1" applyProtection="1">
      <protection locked="0"/>
    </xf>
    <xf numFmtId="0" fontId="0" fillId="0" borderId="0" xfId="0" applyAlignment="1" applyProtection="1">
      <alignment horizontal="center" vertical="center"/>
      <protection locked="0"/>
    </xf>
    <xf numFmtId="0" fontId="28" fillId="0" borderId="7" xfId="0" applyFont="1" applyBorder="1" applyAlignment="1" applyProtection="1">
      <alignment horizontal="center"/>
      <protection locked="0"/>
    </xf>
    <xf numFmtId="0" fontId="28" fillId="0" borderId="7" xfId="0" applyFont="1" applyBorder="1" applyAlignment="1" applyProtection="1">
      <alignment horizontal="center" wrapText="1"/>
      <protection locked="0"/>
    </xf>
    <xf numFmtId="0" fontId="14" fillId="0" borderId="0" xfId="6" applyFont="1" applyAlignment="1" applyProtection="1">
      <alignment horizontal="left"/>
      <protection locked="0"/>
    </xf>
    <xf numFmtId="3" fontId="0" fillId="0" borderId="0" xfId="0" applyNumberFormat="1" applyAlignment="1" applyProtection="1">
      <alignment horizontal="center"/>
      <protection locked="0"/>
    </xf>
    <xf numFmtId="43" fontId="0" fillId="0" borderId="0" xfId="0" applyNumberFormat="1" applyProtection="1">
      <protection locked="0"/>
    </xf>
    <xf numFmtId="0" fontId="28" fillId="0" borderId="3" xfId="0" applyFont="1" applyBorder="1" applyProtection="1">
      <protection locked="0"/>
    </xf>
    <xf numFmtId="0" fontId="0" fillId="0" borderId="0" xfId="0" applyAlignment="1" applyProtection="1">
      <alignment horizontal="right"/>
      <protection locked="0"/>
    </xf>
    <xf numFmtId="5" fontId="0" fillId="0" borderId="0" xfId="0" applyNumberFormat="1" applyBorder="1" applyProtection="1">
      <protection locked="0"/>
    </xf>
    <xf numFmtId="0" fontId="14" fillId="0" borderId="0" xfId="6" applyFont="1" applyAlignment="1" applyProtection="1">
      <alignment horizontal="center"/>
      <protection locked="0"/>
    </xf>
    <xf numFmtId="9" fontId="28" fillId="0" borderId="0" xfId="0" applyNumberFormat="1" applyFont="1" applyProtection="1">
      <protection locked="0"/>
    </xf>
    <xf numFmtId="0" fontId="32" fillId="0" borderId="0" xfId="6" applyFont="1" applyAlignment="1" applyProtection="1">
      <alignment horizontal="center"/>
      <protection locked="0"/>
    </xf>
    <xf numFmtId="9" fontId="4" fillId="3" borderId="1" xfId="1" applyNumberFormat="1" applyFont="1" applyFill="1" applyBorder="1" applyAlignment="1" applyProtection="1">
      <alignment horizontal="centerContinuous"/>
    </xf>
    <xf numFmtId="43" fontId="0" fillId="0" borderId="0" xfId="0" applyNumberFormat="1" applyAlignment="1" applyProtection="1">
      <alignment horizontal="center"/>
    </xf>
    <xf numFmtId="3" fontId="0" fillId="0" borderId="0" xfId="0" applyNumberFormat="1" applyAlignment="1" applyProtection="1">
      <alignment horizontal="center"/>
    </xf>
    <xf numFmtId="37" fontId="0" fillId="0" borderId="0" xfId="0" applyNumberFormat="1" applyAlignment="1" applyProtection="1">
      <alignment horizontal="center"/>
    </xf>
    <xf numFmtId="5" fontId="28" fillId="0" borderId="3" xfId="0" applyNumberFormat="1" applyFont="1" applyBorder="1" applyProtection="1"/>
    <xf numFmtId="3" fontId="28" fillId="0" borderId="3" xfId="0" applyNumberFormat="1" applyFont="1" applyBorder="1" applyAlignment="1" applyProtection="1">
      <alignment horizontal="center"/>
    </xf>
    <xf numFmtId="43" fontId="28" fillId="0" borderId="3" xfId="0" applyNumberFormat="1" applyFont="1" applyBorder="1" applyProtection="1"/>
    <xf numFmtId="5" fontId="0" fillId="0" borderId="0" xfId="0" applyNumberFormat="1" applyProtection="1"/>
    <xf numFmtId="7" fontId="0" fillId="0" borderId="0" xfId="0" applyNumberFormat="1" applyProtection="1"/>
    <xf numFmtId="5" fontId="33" fillId="0" borderId="0" xfId="0" applyNumberFormat="1" applyFont="1" applyProtection="1"/>
    <xf numFmtId="7" fontId="33" fillId="0" borderId="0" xfId="0" applyNumberFormat="1" applyFont="1" applyProtection="1"/>
    <xf numFmtId="3" fontId="0" fillId="0" borderId="0" xfId="0" applyNumberFormat="1" applyProtection="1">
      <protection locked="0"/>
    </xf>
    <xf numFmtId="0" fontId="0" fillId="0" borderId="5" xfId="0" applyBorder="1" applyAlignment="1" applyProtection="1">
      <alignment horizontal="center" wrapText="1"/>
      <protection locked="0"/>
    </xf>
    <xf numFmtId="0" fontId="0" fillId="0" borderId="1" xfId="0" applyBorder="1" applyAlignment="1" applyProtection="1">
      <alignment horizontal="center"/>
      <protection locked="0"/>
    </xf>
    <xf numFmtId="44" fontId="0" fillId="0" borderId="0" xfId="0" applyNumberFormat="1" applyProtection="1">
      <protection locked="0"/>
    </xf>
    <xf numFmtId="0" fontId="0" fillId="0" borderId="1" xfId="6" applyFont="1" applyBorder="1" applyProtection="1">
      <protection locked="0"/>
    </xf>
    <xf numFmtId="0" fontId="0" fillId="0" borderId="1" xfId="0" applyFill="1" applyBorder="1" applyAlignment="1" applyProtection="1">
      <alignment horizontal="center"/>
      <protection locked="0"/>
    </xf>
    <xf numFmtId="0" fontId="28" fillId="17" borderId="14" xfId="6" applyFont="1" applyFill="1" applyBorder="1" applyProtection="1">
      <protection locked="0"/>
    </xf>
    <xf numFmtId="3" fontId="28" fillId="0" borderId="0" xfId="0" applyNumberFormat="1" applyFont="1" applyProtection="1">
      <protection locked="0"/>
    </xf>
    <xf numFmtId="0" fontId="28" fillId="0" borderId="0" xfId="0" applyFont="1" applyAlignment="1" applyProtection="1">
      <alignment horizontal="center" wrapText="1"/>
      <protection locked="0"/>
    </xf>
    <xf numFmtId="3" fontId="28" fillId="0" borderId="0" xfId="0" applyNumberFormat="1" applyFont="1" applyFill="1" applyBorder="1" applyAlignment="1" applyProtection="1">
      <alignment horizontal="center"/>
      <protection locked="0"/>
    </xf>
    <xf numFmtId="44" fontId="4" fillId="3" borderId="11" xfId="2" applyFont="1" applyFill="1" applyBorder="1" applyAlignment="1" applyProtection="1">
      <alignment horizontal="right" vertical="center"/>
    </xf>
    <xf numFmtId="9" fontId="4" fillId="3" borderId="11" xfId="1" applyNumberFormat="1" applyFont="1" applyFill="1" applyBorder="1" applyAlignment="1" applyProtection="1">
      <alignment horizontal="right" vertical="center"/>
    </xf>
    <xf numFmtId="164" fontId="5" fillId="3" borderId="1" xfId="1" applyNumberFormat="1" applyFont="1" applyFill="1" applyBorder="1" applyAlignment="1" applyProtection="1">
      <alignment horizontal="right"/>
    </xf>
    <xf numFmtId="164" fontId="5" fillId="3" borderId="1" xfId="1" applyNumberFormat="1" applyFont="1" applyFill="1" applyBorder="1" applyAlignment="1" applyProtection="1">
      <alignment horizontal="right" vertical="center"/>
    </xf>
    <xf numFmtId="42" fontId="5" fillId="3" borderId="1" xfId="1" applyNumberFormat="1" applyFont="1" applyFill="1" applyBorder="1" applyAlignment="1" applyProtection="1">
      <alignment horizontal="center"/>
    </xf>
    <xf numFmtId="174" fontId="5" fillId="3" borderId="1" xfId="1" applyNumberFormat="1" applyFont="1" applyFill="1" applyBorder="1" applyProtection="1"/>
    <xf numFmtId="170" fontId="5" fillId="3" borderId="1" xfId="1" applyNumberFormat="1" applyFont="1" applyFill="1" applyBorder="1" applyProtection="1"/>
    <xf numFmtId="165" fontId="5" fillId="3" borderId="1" xfId="2" applyNumberFormat="1" applyFont="1" applyFill="1" applyBorder="1" applyProtection="1"/>
    <xf numFmtId="39" fontId="5" fillId="3" borderId="1" xfId="1" applyNumberFormat="1" applyFont="1" applyFill="1" applyBorder="1" applyAlignment="1" applyProtection="1">
      <alignment horizontal="right" vertical="center"/>
    </xf>
    <xf numFmtId="9" fontId="4" fillId="3" borderId="11" xfId="1" applyNumberFormat="1" applyFont="1" applyFill="1" applyBorder="1" applyAlignment="1" applyProtection="1">
      <alignment horizontal="centerContinuous"/>
    </xf>
    <xf numFmtId="172" fontId="0" fillId="0" borderId="0" xfId="0" applyNumberFormat="1" applyProtection="1"/>
    <xf numFmtId="0" fontId="16" fillId="0" borderId="0" xfId="0" applyFont="1" applyFill="1" applyAlignment="1" applyProtection="1">
      <alignment horizontal="center"/>
      <protection locked="0"/>
    </xf>
    <xf numFmtId="0" fontId="16" fillId="0" borderId="0" xfId="0" applyFont="1" applyFill="1" applyProtection="1">
      <protection locked="0"/>
    </xf>
    <xf numFmtId="0" fontId="16" fillId="0" borderId="0" xfId="0" applyFont="1" applyProtection="1">
      <protection locked="0"/>
    </xf>
    <xf numFmtId="0" fontId="17" fillId="0" borderId="0" xfId="0" applyFont="1" applyAlignment="1" applyProtection="1">
      <alignment horizontal="center"/>
      <protection locked="0"/>
    </xf>
    <xf numFmtId="9" fontId="18" fillId="0" borderId="0" xfId="7" applyFont="1" applyProtection="1">
      <protection locked="0"/>
    </xf>
    <xf numFmtId="0" fontId="18" fillId="0" borderId="0" xfId="0" applyFont="1" applyProtection="1">
      <protection locked="0"/>
    </xf>
    <xf numFmtId="0" fontId="18" fillId="0" borderId="0" xfId="0" applyFont="1" applyFill="1" applyProtection="1">
      <protection locked="0"/>
    </xf>
    <xf numFmtId="0" fontId="17" fillId="5" borderId="12" xfId="0" applyFont="1" applyFill="1" applyBorder="1" applyAlignment="1" applyProtection="1">
      <alignment horizontal="left" vertical="center"/>
      <protection locked="0"/>
    </xf>
    <xf numFmtId="0" fontId="17" fillId="5" borderId="17" xfId="0" applyFont="1" applyFill="1" applyBorder="1" applyAlignment="1" applyProtection="1">
      <alignment horizontal="center" vertical="center"/>
      <protection locked="0"/>
    </xf>
    <xf numFmtId="0" fontId="17" fillId="5" borderId="6" xfId="0" applyFont="1" applyFill="1" applyBorder="1" applyAlignment="1" applyProtection="1">
      <protection locked="0"/>
    </xf>
    <xf numFmtId="0" fontId="17" fillId="5" borderId="12" xfId="0" applyFont="1" applyFill="1" applyBorder="1" applyAlignment="1" applyProtection="1">
      <alignment vertical="center"/>
      <protection locked="0"/>
    </xf>
    <xf numFmtId="0" fontId="17" fillId="5" borderId="17" xfId="0" applyFont="1" applyFill="1" applyBorder="1" applyAlignment="1" applyProtection="1">
      <protection locked="0"/>
    </xf>
    <xf numFmtId="0" fontId="58" fillId="0" borderId="0" xfId="0" applyFont="1" applyAlignment="1" applyProtection="1">
      <alignment horizontal="right"/>
      <protection locked="0"/>
    </xf>
    <xf numFmtId="14" fontId="59" fillId="0" borderId="0" xfId="3" applyNumberFormat="1" applyFont="1" applyProtection="1">
      <protection locked="0"/>
    </xf>
    <xf numFmtId="0" fontId="19" fillId="0" borderId="0" xfId="0" applyFont="1" applyAlignment="1" applyProtection="1">
      <alignment horizontal="center"/>
      <protection locked="0"/>
    </xf>
    <xf numFmtId="0" fontId="17" fillId="0" borderId="0" xfId="0" applyFont="1" applyBorder="1" applyAlignment="1" applyProtection="1">
      <alignment horizontal="center"/>
      <protection locked="0"/>
    </xf>
    <xf numFmtId="44" fontId="20" fillId="0" borderId="0" xfId="2" applyFont="1" applyFill="1" applyProtection="1">
      <protection locked="0"/>
    </xf>
    <xf numFmtId="0" fontId="17" fillId="0" borderId="0" xfId="0" applyFont="1" applyFill="1" applyBorder="1" applyAlignment="1" applyProtection="1">
      <protection locked="0"/>
    </xf>
    <xf numFmtId="0" fontId="17" fillId="0" borderId="7" xfId="0" applyFont="1" applyFill="1" applyBorder="1" applyAlignment="1" applyProtection="1">
      <alignment horizontal="center"/>
      <protection locked="0"/>
    </xf>
    <xf numFmtId="0" fontId="46" fillId="0" borderId="8" xfId="0" applyFont="1" applyFill="1" applyBorder="1" applyAlignment="1" applyProtection="1">
      <alignment horizontal="center" wrapText="1"/>
      <protection locked="0"/>
    </xf>
    <xf numFmtId="0" fontId="46" fillId="0" borderId="9" xfId="0" applyFont="1" applyFill="1" applyBorder="1" applyAlignment="1" applyProtection="1">
      <alignment horizontal="center"/>
      <protection locked="0"/>
    </xf>
    <xf numFmtId="0" fontId="46" fillId="0" borderId="9" xfId="0" applyFont="1" applyFill="1" applyBorder="1" applyAlignment="1" applyProtection="1">
      <alignment horizontal="center" wrapText="1"/>
      <protection locked="0"/>
    </xf>
    <xf numFmtId="0" fontId="46" fillId="0" borderId="24" xfId="0" applyFont="1" applyBorder="1" applyAlignment="1" applyProtection="1">
      <alignment horizontal="center" wrapText="1"/>
      <protection locked="0"/>
    </xf>
    <xf numFmtId="0" fontId="46" fillId="0" borderId="8" xfId="0" applyFont="1" applyBorder="1" applyAlignment="1" applyProtection="1">
      <alignment horizontal="center" wrapText="1"/>
      <protection locked="0"/>
    </xf>
    <xf numFmtId="0" fontId="47" fillId="0" borderId="0" xfId="0" applyFont="1" applyProtection="1">
      <protection locked="0"/>
    </xf>
    <xf numFmtId="0" fontId="46" fillId="5" borderId="5" xfId="0" applyFont="1" applyFill="1" applyBorder="1" applyAlignment="1" applyProtection="1">
      <alignment horizontal="center"/>
      <protection locked="0"/>
    </xf>
    <xf numFmtId="0" fontId="48" fillId="5" borderId="4" xfId="0" applyFont="1" applyFill="1" applyBorder="1" applyAlignment="1" applyProtection="1">
      <alignment horizontal="left"/>
      <protection locked="0"/>
    </xf>
    <xf numFmtId="0" fontId="18" fillId="0" borderId="0" xfId="0" applyFont="1" applyFill="1" applyAlignment="1" applyProtection="1">
      <alignment horizontal="center"/>
      <protection locked="0"/>
    </xf>
    <xf numFmtId="0" fontId="46" fillId="3" borderId="1" xfId="0" applyFont="1" applyFill="1" applyBorder="1" applyAlignment="1" applyProtection="1">
      <alignment horizontal="center"/>
      <protection locked="0"/>
    </xf>
    <xf numFmtId="0" fontId="46" fillId="0" borderId="1" xfId="0" applyFont="1" applyBorder="1" applyAlignment="1" applyProtection="1">
      <alignment horizontal="center"/>
      <protection locked="0"/>
    </xf>
    <xf numFmtId="0" fontId="45" fillId="19" borderId="6" xfId="0" applyFont="1" applyFill="1" applyBorder="1" applyAlignment="1" applyProtection="1">
      <alignment horizontal="left"/>
      <protection locked="0"/>
    </xf>
    <xf numFmtId="0" fontId="46" fillId="0" borderId="1" xfId="0" applyFont="1" applyFill="1" applyBorder="1" applyAlignment="1" applyProtection="1">
      <alignment horizontal="center"/>
      <protection locked="0"/>
    </xf>
    <xf numFmtId="167" fontId="52" fillId="0" borderId="1" xfId="0" applyNumberFormat="1" applyFont="1" applyBorder="1" applyAlignment="1" applyProtection="1">
      <alignment horizontal="center"/>
      <protection locked="0"/>
    </xf>
    <xf numFmtId="9" fontId="47" fillId="7" borderId="1" xfId="7" applyFont="1" applyFill="1" applyBorder="1" applyProtection="1">
      <protection locked="0"/>
    </xf>
    <xf numFmtId="37" fontId="47" fillId="8" borderId="12" xfId="1" applyNumberFormat="1" applyFont="1" applyFill="1" applyBorder="1" applyProtection="1">
      <protection locked="0"/>
    </xf>
    <xf numFmtId="44" fontId="18" fillId="0" borderId="0" xfId="7" applyNumberFormat="1" applyFont="1" applyFill="1" applyBorder="1" applyProtection="1">
      <protection locked="0"/>
    </xf>
    <xf numFmtId="0" fontId="44" fillId="0" borderId="1" xfId="0" applyFont="1" applyBorder="1" applyAlignment="1" applyProtection="1">
      <alignment horizontal="center"/>
      <protection locked="0"/>
    </xf>
    <xf numFmtId="167" fontId="53" fillId="20" borderId="1" xfId="0" applyNumberFormat="1" applyFont="1" applyFill="1" applyBorder="1" applyAlignment="1" applyProtection="1">
      <alignment horizontal="right" vertical="center" indent="1"/>
      <protection locked="0"/>
    </xf>
    <xf numFmtId="0" fontId="46" fillId="6" borderId="1" xfId="0" applyFont="1" applyFill="1" applyBorder="1" applyAlignment="1" applyProtection="1">
      <alignment horizontal="center"/>
      <protection locked="0"/>
    </xf>
    <xf numFmtId="0" fontId="46" fillId="0" borderId="1" xfId="0" quotePrefix="1" applyFont="1" applyFill="1" applyBorder="1" applyAlignment="1" applyProtection="1">
      <alignment horizontal="center"/>
      <protection locked="0"/>
    </xf>
    <xf numFmtId="9" fontId="47" fillId="7" borderId="11" xfId="7" applyFont="1" applyFill="1" applyBorder="1" applyProtection="1">
      <protection locked="0"/>
    </xf>
    <xf numFmtId="37" fontId="47" fillId="8" borderId="1" xfId="1" applyNumberFormat="1" applyFont="1" applyFill="1" applyBorder="1" applyProtection="1">
      <protection locked="0"/>
    </xf>
    <xf numFmtId="37" fontId="47" fillId="8" borderId="6" xfId="1" applyNumberFormat="1" applyFont="1" applyFill="1" applyBorder="1" applyProtection="1">
      <protection locked="0"/>
    </xf>
    <xf numFmtId="0" fontId="49" fillId="0" borderId="1" xfId="0" applyFont="1" applyBorder="1" applyAlignment="1" applyProtection="1">
      <alignment horizontal="center"/>
      <protection locked="0"/>
    </xf>
    <xf numFmtId="9" fontId="47" fillId="7" borderId="1" xfId="0" applyNumberFormat="1" applyFont="1" applyFill="1" applyBorder="1" applyProtection="1">
      <protection locked="0"/>
    </xf>
    <xf numFmtId="0" fontId="46" fillId="3" borderId="12" xfId="0" applyFont="1" applyFill="1" applyBorder="1" applyAlignment="1" applyProtection="1">
      <alignment horizontal="center"/>
      <protection locked="0"/>
    </xf>
    <xf numFmtId="9" fontId="47" fillId="7" borderId="5" xfId="7" applyFont="1" applyFill="1" applyBorder="1" applyProtection="1">
      <protection locked="0"/>
    </xf>
    <xf numFmtId="167" fontId="46" fillId="0" borderId="1" xfId="0" applyNumberFormat="1" applyFont="1" applyFill="1" applyBorder="1" applyAlignment="1" applyProtection="1">
      <alignment horizontal="center"/>
      <protection locked="0"/>
    </xf>
    <xf numFmtId="0" fontId="44" fillId="0" borderId="1" xfId="0" applyFont="1" applyFill="1" applyBorder="1" applyAlignment="1" applyProtection="1">
      <alignment horizontal="center" vertical="center"/>
      <protection locked="0"/>
    </xf>
    <xf numFmtId="0" fontId="46" fillId="0" borderId="0" xfId="0" applyFont="1" applyFill="1" applyAlignment="1" applyProtection="1">
      <alignment horizontal="center"/>
      <protection locked="0"/>
    </xf>
    <xf numFmtId="0" fontId="46" fillId="0" borderId="0" xfId="0" applyFont="1" applyAlignment="1" applyProtection="1">
      <alignment horizontal="left"/>
      <protection locked="0"/>
    </xf>
    <xf numFmtId="0" fontId="46" fillId="0" borderId="0" xfId="0" applyFont="1" applyFill="1" applyBorder="1" applyAlignment="1" applyProtection="1">
      <alignment horizontal="right"/>
      <protection locked="0"/>
    </xf>
    <xf numFmtId="9" fontId="50" fillId="8" borderId="1" xfId="7" applyFont="1" applyFill="1" applyBorder="1" applyProtection="1">
      <protection locked="0"/>
    </xf>
    <xf numFmtId="37" fontId="50" fillId="8" borderId="1" xfId="1" applyNumberFormat="1" applyFont="1" applyFill="1" applyBorder="1" applyProtection="1">
      <protection locked="0"/>
    </xf>
    <xf numFmtId="0" fontId="50" fillId="0" borderId="0" xfId="0" applyFont="1" applyProtection="1">
      <protection locked="0"/>
    </xf>
    <xf numFmtId="44" fontId="20" fillId="0" borderId="0" xfId="7" applyNumberFormat="1" applyFont="1" applyFill="1" applyBorder="1" applyProtection="1">
      <protection locked="0"/>
    </xf>
    <xf numFmtId="165" fontId="20" fillId="0" borderId="0" xfId="0" applyNumberFormat="1" applyFont="1" applyProtection="1">
      <protection locked="0"/>
    </xf>
    <xf numFmtId="0" fontId="20" fillId="0" borderId="0" xfId="0" applyFont="1" applyProtection="1">
      <protection locked="0"/>
    </xf>
    <xf numFmtId="0" fontId="46" fillId="0" borderId="0" xfId="0" applyFont="1" applyAlignment="1" applyProtection="1">
      <alignment horizontal="center"/>
      <protection locked="0"/>
    </xf>
    <xf numFmtId="0" fontId="46" fillId="0" borderId="0" xfId="0" applyFont="1" applyFill="1" applyBorder="1" applyAlignment="1" applyProtection="1">
      <alignment horizontal="center"/>
      <protection locked="0"/>
    </xf>
    <xf numFmtId="9" fontId="47" fillId="0" borderId="0" xfId="0" applyNumberFormat="1" applyFont="1" applyProtection="1">
      <protection locked="0"/>
    </xf>
    <xf numFmtId="0" fontId="52" fillId="0" borderId="0" xfId="0" applyFont="1" applyAlignment="1" applyProtection="1">
      <alignment horizontal="center"/>
      <protection locked="0"/>
    </xf>
    <xf numFmtId="0" fontId="52" fillId="0" borderId="0" xfId="0" applyFont="1" applyFill="1" applyBorder="1" applyAlignment="1" applyProtection="1">
      <alignment horizontal="center"/>
      <protection locked="0"/>
    </xf>
    <xf numFmtId="9" fontId="50" fillId="0" borderId="1" xfId="7" applyFont="1" applyBorder="1" applyAlignment="1" applyProtection="1">
      <alignment vertical="center"/>
      <protection locked="0"/>
    </xf>
    <xf numFmtId="0" fontId="47" fillId="0" borderId="12" xfId="0" applyFont="1" applyBorder="1" applyProtection="1">
      <protection locked="0"/>
    </xf>
    <xf numFmtId="0" fontId="50" fillId="0" borderId="6" xfId="0" applyFont="1" applyBorder="1" applyAlignment="1" applyProtection="1">
      <alignment horizontal="right"/>
      <protection locked="0"/>
    </xf>
    <xf numFmtId="0" fontId="20" fillId="0" borderId="0" xfId="0" applyFont="1" applyFill="1" applyProtection="1">
      <protection locked="0"/>
    </xf>
    <xf numFmtId="0" fontId="16" fillId="0" borderId="0"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164" fontId="18" fillId="0" borderId="0" xfId="0" applyNumberFormat="1" applyFont="1" applyProtection="1">
      <protection locked="0"/>
    </xf>
    <xf numFmtId="0" fontId="16" fillId="0" borderId="0" xfId="0" applyFont="1" applyAlignment="1" applyProtection="1">
      <alignment horizontal="center"/>
      <protection locked="0"/>
    </xf>
    <xf numFmtId="43" fontId="18" fillId="0" borderId="0" xfId="0" applyNumberFormat="1" applyFont="1" applyProtection="1">
      <protection locked="0"/>
    </xf>
    <xf numFmtId="164" fontId="17" fillId="0" borderId="0" xfId="1" applyNumberFormat="1" applyFont="1" applyFill="1" applyBorder="1" applyAlignment="1" applyProtection="1">
      <alignment horizontal="left" wrapText="1"/>
      <protection locked="0"/>
    </xf>
    <xf numFmtId="0" fontId="21" fillId="0" borderId="0" xfId="0" applyFont="1" applyFill="1" applyBorder="1" applyAlignment="1" applyProtection="1">
      <alignment horizontal="center"/>
      <protection locked="0"/>
    </xf>
    <xf numFmtId="164" fontId="17" fillId="0" borderId="0" xfId="1" applyNumberFormat="1" applyFont="1" applyFill="1" applyBorder="1" applyAlignment="1" applyProtection="1">
      <alignment horizontal="center" wrapText="1"/>
      <protection locked="0"/>
    </xf>
    <xf numFmtId="44" fontId="18" fillId="0" borderId="0" xfId="0" applyNumberFormat="1" applyFont="1" applyProtection="1">
      <protection locked="0"/>
    </xf>
    <xf numFmtId="0" fontId="16" fillId="0" borderId="0" xfId="0" applyFont="1" applyFill="1" applyBorder="1" applyAlignment="1" applyProtection="1">
      <alignment horizontal="left"/>
      <protection locked="0"/>
    </xf>
    <xf numFmtId="2" fontId="17" fillId="0" borderId="0" xfId="0" applyNumberFormat="1" applyFont="1" applyFill="1" applyBorder="1" applyAlignment="1" applyProtection="1">
      <alignment horizontal="center"/>
      <protection locked="0"/>
    </xf>
    <xf numFmtId="0" fontId="22" fillId="0" borderId="0" xfId="0" applyFont="1" applyBorder="1" applyAlignment="1" applyProtection="1">
      <alignment horizontal="left"/>
      <protection locked="0"/>
    </xf>
    <xf numFmtId="0" fontId="22" fillId="0" borderId="0" xfId="0" applyFont="1" applyBorder="1" applyAlignment="1" applyProtection="1">
      <alignment horizontal="left" wrapText="1"/>
      <protection locked="0"/>
    </xf>
    <xf numFmtId="0" fontId="16" fillId="0" borderId="0" xfId="0" applyFont="1" applyFill="1" applyBorder="1" applyProtection="1">
      <protection locked="0"/>
    </xf>
    <xf numFmtId="0" fontId="16" fillId="0" borderId="0" xfId="0" applyFont="1" applyAlignment="1" applyProtection="1">
      <alignment horizontal="left"/>
      <protection locked="0"/>
    </xf>
    <xf numFmtId="164" fontId="47" fillId="3" borderId="1" xfId="1" applyNumberFormat="1" applyFont="1" applyFill="1" applyBorder="1" applyProtection="1"/>
    <xf numFmtId="164" fontId="50" fillId="3" borderId="1" xfId="1" applyNumberFormat="1" applyFont="1" applyFill="1" applyBorder="1" applyProtection="1"/>
    <xf numFmtId="167" fontId="50" fillId="3" borderId="1" xfId="0" applyNumberFormat="1" applyFont="1" applyFill="1" applyBorder="1" applyProtection="1"/>
    <xf numFmtId="44" fontId="50" fillId="3" borderId="1" xfId="2" applyFont="1" applyFill="1" applyBorder="1" applyProtection="1"/>
    <xf numFmtId="165" fontId="47" fillId="3" borderId="5" xfId="2" applyNumberFormat="1" applyFont="1" applyFill="1" applyBorder="1" applyProtection="1"/>
    <xf numFmtId="165" fontId="50" fillId="3" borderId="1" xfId="2" applyNumberFormat="1" applyFont="1" applyFill="1" applyBorder="1" applyProtection="1"/>
    <xf numFmtId="164" fontId="20" fillId="2" borderId="1" xfId="1" applyNumberFormat="1" applyFont="1" applyFill="1" applyBorder="1" applyProtection="1"/>
    <xf numFmtId="7" fontId="20" fillId="2" borderId="1" xfId="2" applyNumberFormat="1" applyFont="1" applyFill="1" applyBorder="1" applyProtection="1"/>
    <xf numFmtId="179" fontId="0" fillId="0" borderId="0" xfId="0" applyNumberFormat="1" applyAlignment="1">
      <alignment horizontal="center"/>
    </xf>
    <xf numFmtId="0" fontId="57" fillId="15" borderId="1" xfId="0" applyFont="1" applyFill="1" applyBorder="1" applyAlignment="1">
      <alignment horizontal="left" vertical="center"/>
    </xf>
    <xf numFmtId="9" fontId="0" fillId="0" borderId="1" xfId="0" applyNumberFormat="1" applyBorder="1"/>
    <xf numFmtId="0" fontId="0" fillId="0" borderId="1" xfId="0" applyBorder="1"/>
    <xf numFmtId="164" fontId="0" fillId="0" borderId="1" xfId="1" applyNumberFormat="1" applyFont="1" applyBorder="1"/>
    <xf numFmtId="165" fontId="0" fillId="0" borderId="1" xfId="2" applyNumberFormat="1" applyFont="1" applyBorder="1"/>
    <xf numFmtId="0" fontId="57" fillId="15" borderId="5" xfId="0" applyFont="1" applyFill="1" applyBorder="1" applyAlignment="1">
      <alignment horizontal="left" vertical="center"/>
    </xf>
    <xf numFmtId="176" fontId="0" fillId="0" borderId="5" xfId="1" applyNumberFormat="1" applyFont="1" applyBorder="1"/>
    <xf numFmtId="44" fontId="0" fillId="0" borderId="5" xfId="0" applyNumberFormat="1" applyBorder="1"/>
    <xf numFmtId="0" fontId="57" fillId="15" borderId="24" xfId="0" applyFont="1" applyFill="1" applyBorder="1" applyAlignment="1">
      <alignment horizontal="left" vertical="top" wrapText="1"/>
    </xf>
    <xf numFmtId="0" fontId="0" fillId="0" borderId="24" xfId="0" applyBorder="1" applyAlignment="1">
      <alignment horizontal="center" vertical="top" wrapText="1"/>
    </xf>
    <xf numFmtId="0" fontId="57" fillId="15" borderId="24" xfId="0" applyFont="1" applyFill="1" applyBorder="1" applyAlignment="1">
      <alignment horizontal="center" vertical="top" wrapText="1"/>
    </xf>
    <xf numFmtId="0" fontId="31" fillId="13" borderId="12" xfId="0" applyFont="1" applyFill="1" applyBorder="1" applyAlignment="1" applyProtection="1">
      <alignment horizontal="center"/>
      <protection locked="0"/>
    </xf>
    <xf numFmtId="0" fontId="31" fillId="13" borderId="17" xfId="0" applyFont="1" applyFill="1" applyBorder="1" applyAlignment="1" applyProtection="1">
      <alignment horizontal="center"/>
      <protection locked="0"/>
    </xf>
    <xf numFmtId="0" fontId="31" fillId="13" borderId="6" xfId="0" applyFont="1" applyFill="1" applyBorder="1" applyAlignment="1" applyProtection="1">
      <alignment horizontal="center"/>
      <protection locked="0"/>
    </xf>
    <xf numFmtId="0" fontId="29" fillId="11" borderId="12" xfId="10" applyBorder="1" applyAlignment="1" applyProtection="1">
      <alignment horizontal="center"/>
      <protection locked="0"/>
    </xf>
    <xf numFmtId="0" fontId="29" fillId="11" borderId="17" xfId="10" applyBorder="1" applyAlignment="1" applyProtection="1">
      <alignment horizontal="center"/>
      <protection locked="0"/>
    </xf>
    <xf numFmtId="0" fontId="29" fillId="11" borderId="6" xfId="10" applyBorder="1" applyAlignment="1" applyProtection="1">
      <alignment horizontal="center"/>
      <protection locked="0"/>
    </xf>
    <xf numFmtId="164" fontId="0" fillId="0" borderId="0" xfId="0" applyNumberFormat="1"/>
    <xf numFmtId="5" fontId="4" fillId="0" borderId="0" xfId="0" applyNumberFormat="1" applyFont="1" applyBorder="1" applyAlignment="1" applyProtection="1">
      <alignment horizontal="center"/>
      <protection locked="0"/>
    </xf>
    <xf numFmtId="174" fontId="0" fillId="0" borderId="0" xfId="0" applyNumberFormat="1" applyProtection="1">
      <protection locked="0"/>
    </xf>
    <xf numFmtId="37" fontId="0" fillId="0" borderId="0" xfId="0" applyNumberFormat="1" applyProtection="1">
      <protection locked="0"/>
    </xf>
    <xf numFmtId="5" fontId="0" fillId="0" borderId="0" xfId="0" applyNumberFormat="1" applyProtection="1">
      <protection locked="0"/>
    </xf>
    <xf numFmtId="5" fontId="14" fillId="0" borderId="0" xfId="6" applyNumberFormat="1" applyFont="1" applyAlignment="1" applyProtection="1">
      <alignment horizontal="left"/>
      <protection locked="0"/>
    </xf>
    <xf numFmtId="44" fontId="4" fillId="3" borderId="1" xfId="2" applyFont="1" applyFill="1" applyBorder="1" applyAlignment="1" applyProtection="1">
      <alignment horizontal="right" vertical="center"/>
    </xf>
    <xf numFmtId="165" fontId="0" fillId="0" borderId="0" xfId="0" applyNumberFormat="1" applyProtection="1">
      <protection locked="0"/>
    </xf>
    <xf numFmtId="4" fontId="0" fillId="0" borderId="0" xfId="0" applyNumberFormat="1" applyProtection="1">
      <protection locked="0"/>
    </xf>
    <xf numFmtId="165" fontId="0" fillId="21" borderId="46" xfId="2" applyNumberFormat="1" applyFont="1" applyFill="1" applyBorder="1" applyAlignment="1">
      <alignment horizontal="center"/>
    </xf>
    <xf numFmtId="165" fontId="0" fillId="0" borderId="46" xfId="2" applyNumberFormat="1" applyFont="1" applyFill="1" applyBorder="1" applyAlignment="1">
      <alignment horizontal="center"/>
    </xf>
    <xf numFmtId="165" fontId="0" fillId="21" borderId="0" xfId="2" applyNumberFormat="1" applyFont="1" applyFill="1" applyAlignment="1">
      <alignment horizontal="center"/>
    </xf>
    <xf numFmtId="0" fontId="4" fillId="0" borderId="2" xfId="0" applyFont="1" applyBorder="1"/>
    <xf numFmtId="9" fontId="0" fillId="0" borderId="24" xfId="0" applyNumberFormat="1" applyBorder="1" applyAlignment="1">
      <alignment horizontal="center" vertical="top" wrapText="1"/>
    </xf>
    <xf numFmtId="0" fontId="54" fillId="0" borderId="0" xfId="0" applyFont="1" applyAlignment="1">
      <alignment horizontal="left" wrapText="1"/>
    </xf>
    <xf numFmtId="0" fontId="0" fillId="18" borderId="0" xfId="13" applyFont="1" applyAlignment="1">
      <alignment horizontal="center" vertical="center"/>
    </xf>
    <xf numFmtId="0" fontId="25" fillId="18" borderId="0" xfId="13" applyAlignment="1">
      <alignment horizontal="center" vertical="center"/>
    </xf>
    <xf numFmtId="0" fontId="0" fillId="0" borderId="0" xfId="0" applyAlignment="1">
      <alignment horizontal="left" wrapText="1"/>
    </xf>
    <xf numFmtId="0" fontId="0" fillId="0" borderId="0" xfId="0" applyAlignment="1">
      <alignment horizontal="left" vertical="top" wrapText="1"/>
    </xf>
    <xf numFmtId="0" fontId="31" fillId="13" borderId="16" xfId="0" applyFont="1" applyFill="1" applyBorder="1" applyAlignment="1" applyProtection="1">
      <alignment horizontal="center"/>
      <protection locked="0"/>
    </xf>
    <xf numFmtId="0" fontId="31" fillId="13" borderId="7" xfId="0" applyFont="1" applyFill="1" applyBorder="1" applyAlignment="1" applyProtection="1">
      <alignment horizontal="center"/>
      <protection locked="0"/>
    </xf>
    <xf numFmtId="0" fontId="0" fillId="0" borderId="7" xfId="0" applyBorder="1" applyAlignment="1" applyProtection="1">
      <protection locked="0"/>
    </xf>
    <xf numFmtId="0" fontId="56" fillId="9" borderId="1" xfId="8" applyFont="1" applyBorder="1" applyAlignment="1">
      <alignment horizontal="center"/>
    </xf>
    <xf numFmtId="0" fontId="31" fillId="13" borderId="15" xfId="0" applyFont="1" applyFill="1" applyBorder="1" applyAlignment="1">
      <alignment horizontal="center"/>
    </xf>
    <xf numFmtId="0" fontId="31" fillId="13" borderId="0" xfId="0" applyFont="1" applyFill="1" applyBorder="1" applyAlignment="1">
      <alignment horizontal="center"/>
    </xf>
    <xf numFmtId="0" fontId="0" fillId="0" borderId="0" xfId="0" applyAlignment="1"/>
    <xf numFmtId="0" fontId="31" fillId="13" borderId="15" xfId="0" applyFont="1" applyFill="1" applyBorder="1" applyAlignment="1" applyProtection="1">
      <alignment horizontal="center"/>
      <protection locked="0"/>
    </xf>
    <xf numFmtId="0" fontId="31" fillId="13" borderId="0" xfId="0" applyFont="1" applyFill="1" applyBorder="1" applyAlignment="1" applyProtection="1">
      <alignment horizontal="center"/>
      <protection locked="0"/>
    </xf>
    <xf numFmtId="0" fontId="29" fillId="12" borderId="14" xfId="11" applyBorder="1" applyAlignment="1" applyProtection="1">
      <alignment horizontal="center" vertical="center"/>
      <protection locked="0"/>
    </xf>
    <xf numFmtId="0" fontId="29" fillId="12" borderId="13" xfId="11" applyBorder="1" applyAlignment="1" applyProtection="1">
      <alignment horizontal="center" vertical="center"/>
      <protection locked="0"/>
    </xf>
    <xf numFmtId="0" fontId="29" fillId="12" borderId="10" xfId="11" applyBorder="1" applyAlignment="1" applyProtection="1">
      <alignment horizontal="center" vertical="center"/>
      <protection locked="0"/>
    </xf>
    <xf numFmtId="0" fontId="29" fillId="11" borderId="15" xfId="10" applyBorder="1" applyAlignment="1" applyProtection="1">
      <alignment horizontal="center"/>
      <protection locked="0"/>
    </xf>
    <xf numFmtId="0" fontId="29" fillId="11" borderId="0" xfId="10" applyBorder="1" applyAlignment="1" applyProtection="1">
      <alignment horizontal="center"/>
      <protection locked="0"/>
    </xf>
    <xf numFmtId="0" fontId="29" fillId="11" borderId="0" xfId="10" applyBorder="1" applyAlignment="1" applyProtection="1">
      <protection locked="0"/>
    </xf>
    <xf numFmtId="0" fontId="29" fillId="11" borderId="0" xfId="10" applyAlignment="1" applyProtection="1">
      <protection locked="0"/>
    </xf>
    <xf numFmtId="0" fontId="0" fillId="0" borderId="0" xfId="0" applyBorder="1" applyAlignment="1" applyProtection="1">
      <protection locked="0"/>
    </xf>
    <xf numFmtId="0" fontId="0" fillId="0" borderId="0" xfId="0" applyAlignment="1" applyProtection="1">
      <protection locked="0"/>
    </xf>
    <xf numFmtId="0" fontId="29" fillId="10" borderId="0" xfId="9" applyAlignment="1">
      <alignment horizontal="center"/>
    </xf>
    <xf numFmtId="0" fontId="29" fillId="12" borderId="12" xfId="11" applyBorder="1" applyAlignment="1" applyProtection="1">
      <alignment horizontal="center" vertical="center"/>
      <protection locked="0"/>
    </xf>
    <xf numFmtId="0" fontId="29" fillId="12" borderId="17" xfId="11" applyBorder="1" applyAlignment="1" applyProtection="1">
      <alignment horizontal="center" vertical="center"/>
      <protection locked="0"/>
    </xf>
    <xf numFmtId="0" fontId="29" fillId="12" borderId="6" xfId="11" applyBorder="1" applyAlignment="1" applyProtection="1">
      <alignment horizontal="center" vertical="center"/>
      <protection locked="0"/>
    </xf>
    <xf numFmtId="0" fontId="17" fillId="0" borderId="0" xfId="0" applyFont="1" applyFill="1" applyBorder="1" applyAlignment="1" applyProtection="1">
      <alignment horizontal="center" wrapText="1"/>
      <protection locked="0"/>
    </xf>
    <xf numFmtId="0" fontId="17" fillId="0" borderId="7" xfId="0" applyFont="1" applyFill="1" applyBorder="1" applyAlignment="1" applyProtection="1">
      <alignment horizontal="center" wrapText="1"/>
      <protection locked="0"/>
    </xf>
    <xf numFmtId="0" fontId="17" fillId="0" borderId="0" xfId="0" applyFont="1" applyBorder="1" applyAlignment="1" applyProtection="1">
      <alignment horizontal="center" wrapText="1"/>
      <protection locked="0"/>
    </xf>
    <xf numFmtId="0" fontId="17" fillId="0" borderId="7" xfId="0" applyFont="1" applyBorder="1" applyAlignment="1" applyProtection="1">
      <alignment horizontal="center" wrapText="1"/>
      <protection locked="0"/>
    </xf>
    <xf numFmtId="9" fontId="18" fillId="5" borderId="17" xfId="7" applyFont="1" applyFill="1" applyBorder="1" applyAlignment="1" applyProtection="1">
      <alignment horizontal="left" vertical="top" wrapText="1"/>
      <protection locked="0"/>
    </xf>
    <xf numFmtId="9" fontId="18" fillId="5" borderId="6" xfId="7" applyFont="1" applyFill="1" applyBorder="1" applyAlignment="1" applyProtection="1">
      <alignment horizontal="left" vertical="top" wrapText="1"/>
      <protection locked="0"/>
    </xf>
    <xf numFmtId="167" fontId="46" fillId="0" borderId="0" xfId="0" applyNumberFormat="1" applyFont="1" applyFill="1" applyBorder="1" applyAlignment="1" applyProtection="1">
      <alignment horizontal="left"/>
      <protection locked="0"/>
    </xf>
    <xf numFmtId="167" fontId="17" fillId="0" borderId="0" xfId="0" applyNumberFormat="1" applyFont="1" applyFill="1" applyBorder="1" applyAlignment="1" applyProtection="1">
      <alignment horizontal="left"/>
      <protection locked="0"/>
    </xf>
    <xf numFmtId="0" fontId="17" fillId="0" borderId="0" xfId="0" applyFont="1" applyFill="1" applyBorder="1" applyAlignment="1" applyProtection="1">
      <alignment horizontal="left" wrapText="1"/>
      <protection locked="0"/>
    </xf>
    <xf numFmtId="2" fontId="17" fillId="0" borderId="0" xfId="0" applyNumberFormat="1" applyFont="1" applyFill="1" applyBorder="1" applyAlignment="1" applyProtection="1">
      <alignment horizontal="left"/>
      <protection locked="0"/>
    </xf>
  </cellXfs>
  <cellStyles count="14">
    <cellStyle name="40% - Accent2" xfId="13" builtinId="35"/>
    <cellStyle name="Accent2" xfId="9" builtinId="33"/>
    <cellStyle name="Accent4" xfId="10" builtinId="41"/>
    <cellStyle name="Accent6" xfId="11" builtinId="49"/>
    <cellStyle name="Comma" xfId="1" builtinId="3"/>
    <cellStyle name="Currency" xfId="2" builtinId="4"/>
    <cellStyle name="Good" xfId="8" builtinId="26"/>
    <cellStyle name="Hyperlink" xfId="3" builtinId="8"/>
    <cellStyle name="Input" xfId="12" builtinId="20"/>
    <cellStyle name="Normal" xfId="0" builtinId="0"/>
    <cellStyle name="Normal 2" xfId="4"/>
    <cellStyle name="Normal 3" xfId="5"/>
    <cellStyle name="Normal 5" xfId="6"/>
    <cellStyle name="Percent" xfId="7" builtinId="5"/>
  </cellStyles>
  <dxfs count="68">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ont>
        <color rgb="FFFF0000"/>
      </font>
    </dxf>
    <dxf>
      <font>
        <color rgb="FF00B050"/>
      </font>
    </dxf>
    <dxf>
      <font>
        <color rgb="FFFF0000"/>
      </font>
    </dxf>
    <dxf>
      <font>
        <color rgb="FF00B05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election activeCell="B3" sqref="B3"/>
    </sheetView>
  </sheetViews>
  <sheetFormatPr defaultRowHeight="15" x14ac:dyDescent="0.25"/>
  <cols>
    <col min="1" max="1" width="3" customWidth="1"/>
  </cols>
  <sheetData>
    <row r="1" spans="1:11" ht="17.45" x14ac:dyDescent="0.3">
      <c r="A1" s="2" t="s">
        <v>163</v>
      </c>
    </row>
    <row r="2" spans="1:11" ht="17.45" x14ac:dyDescent="0.3">
      <c r="A2" s="7" t="s">
        <v>200</v>
      </c>
    </row>
    <row r="4" spans="1:11" ht="30.75" customHeight="1" x14ac:dyDescent="0.3">
      <c r="B4" s="514" t="s">
        <v>273</v>
      </c>
      <c r="C4" s="515"/>
      <c r="D4" s="515"/>
      <c r="E4" s="515"/>
      <c r="F4" s="515"/>
      <c r="G4" s="515"/>
      <c r="H4" s="515"/>
      <c r="I4" s="515"/>
      <c r="J4" s="515"/>
      <c r="K4" s="515"/>
    </row>
    <row r="6" spans="1:11" ht="18.75" customHeight="1" x14ac:dyDescent="0.3">
      <c r="B6" s="513" t="s">
        <v>272</v>
      </c>
      <c r="C6" s="513"/>
      <c r="D6" s="513"/>
      <c r="E6" s="513"/>
      <c r="F6" s="513"/>
      <c r="G6" s="513"/>
      <c r="H6" s="513"/>
      <c r="I6" s="513"/>
      <c r="J6" s="513"/>
      <c r="K6" s="513"/>
    </row>
    <row r="7" spans="1:11" ht="81.75" customHeight="1" x14ac:dyDescent="0.3">
      <c r="B7" s="516" t="s">
        <v>274</v>
      </c>
      <c r="C7" s="516"/>
      <c r="D7" s="516"/>
      <c r="E7" s="516"/>
      <c r="F7" s="516"/>
      <c r="G7" s="516"/>
      <c r="H7" s="516"/>
      <c r="I7" s="516"/>
      <c r="J7" s="516"/>
      <c r="K7" s="516"/>
    </row>
    <row r="9" spans="1:11" ht="15.6" x14ac:dyDescent="0.3">
      <c r="B9" s="513" t="s">
        <v>275</v>
      </c>
      <c r="C9" s="513"/>
      <c r="D9" s="513"/>
      <c r="E9" s="513"/>
      <c r="F9" s="513"/>
      <c r="G9" s="513"/>
      <c r="H9" s="513"/>
      <c r="I9" s="513"/>
      <c r="J9" s="513"/>
      <c r="K9" s="513"/>
    </row>
    <row r="11" spans="1:11" ht="14.45" x14ac:dyDescent="0.3">
      <c r="B11" s="78" t="s">
        <v>278</v>
      </c>
    </row>
    <row r="12" spans="1:11" ht="48" customHeight="1" x14ac:dyDescent="0.25">
      <c r="B12" s="516" t="s">
        <v>279</v>
      </c>
      <c r="C12" s="516"/>
      <c r="D12" s="516"/>
      <c r="E12" s="516"/>
      <c r="F12" s="516"/>
      <c r="G12" s="516"/>
      <c r="H12" s="516"/>
      <c r="I12" s="516"/>
      <c r="J12" s="516"/>
      <c r="K12" s="516"/>
    </row>
    <row r="14" spans="1:11" x14ac:dyDescent="0.25">
      <c r="B14" s="78" t="s">
        <v>276</v>
      </c>
    </row>
    <row r="15" spans="1:11" ht="51" customHeight="1" x14ac:dyDescent="0.25">
      <c r="B15" s="517" t="s">
        <v>277</v>
      </c>
      <c r="C15" s="517"/>
      <c r="D15" s="517"/>
      <c r="E15" s="517"/>
      <c r="F15" s="517"/>
      <c r="G15" s="517"/>
      <c r="H15" s="517"/>
      <c r="I15" s="517"/>
      <c r="J15" s="517"/>
      <c r="K15" s="517"/>
    </row>
    <row r="17" spans="2:11" x14ac:dyDescent="0.25">
      <c r="B17" s="78" t="s">
        <v>164</v>
      </c>
    </row>
    <row r="18" spans="2:11" ht="45" customHeight="1" x14ac:dyDescent="0.25">
      <c r="B18" s="516" t="s">
        <v>285</v>
      </c>
      <c r="C18" s="516"/>
      <c r="D18" s="516"/>
      <c r="E18" s="516"/>
      <c r="F18" s="516"/>
      <c r="G18" s="516"/>
      <c r="H18" s="516"/>
      <c r="I18" s="516"/>
      <c r="J18" s="516"/>
      <c r="K18" s="516"/>
    </row>
    <row r="20" spans="2:11" x14ac:dyDescent="0.25">
      <c r="B20" s="78" t="s">
        <v>280</v>
      </c>
    </row>
    <row r="21" spans="2:11" ht="64.5" customHeight="1" x14ac:dyDescent="0.25">
      <c r="B21" s="516" t="s">
        <v>286</v>
      </c>
      <c r="C21" s="516"/>
      <c r="D21" s="516"/>
      <c r="E21" s="516"/>
      <c r="F21" s="516"/>
      <c r="G21" s="516"/>
      <c r="H21" s="516"/>
      <c r="I21" s="516"/>
      <c r="J21" s="516"/>
      <c r="K21" s="516"/>
    </row>
    <row r="23" spans="2:11" x14ac:dyDescent="0.25">
      <c r="B23" s="78" t="s">
        <v>222</v>
      </c>
    </row>
    <row r="24" spans="2:11" x14ac:dyDescent="0.25">
      <c r="B24" s="516" t="s">
        <v>281</v>
      </c>
      <c r="C24" s="516"/>
      <c r="D24" s="516"/>
      <c r="E24" s="516"/>
      <c r="F24" s="516"/>
      <c r="G24" s="516"/>
      <c r="H24" s="516"/>
      <c r="I24" s="516"/>
      <c r="J24" s="516"/>
      <c r="K24" s="516"/>
    </row>
    <row r="26" spans="2:11" x14ac:dyDescent="0.25">
      <c r="B26" s="78" t="s">
        <v>282</v>
      </c>
    </row>
    <row r="27" spans="2:11" ht="61.5" customHeight="1" x14ac:dyDescent="0.25">
      <c r="B27" s="516" t="s">
        <v>395</v>
      </c>
      <c r="C27" s="516"/>
      <c r="D27" s="516"/>
      <c r="E27" s="516"/>
      <c r="F27" s="516"/>
      <c r="G27" s="516"/>
      <c r="H27" s="516"/>
      <c r="I27" s="516"/>
      <c r="J27" s="516"/>
      <c r="K27" s="516"/>
    </row>
    <row r="29" spans="2:11" x14ac:dyDescent="0.25">
      <c r="B29" s="78" t="s">
        <v>283</v>
      </c>
    </row>
    <row r="30" spans="2:11" ht="32.25" customHeight="1" x14ac:dyDescent="0.25">
      <c r="B30" s="516" t="s">
        <v>284</v>
      </c>
      <c r="C30" s="516"/>
      <c r="D30" s="516"/>
      <c r="E30" s="516"/>
      <c r="F30" s="516"/>
      <c r="G30" s="516"/>
      <c r="H30" s="516"/>
      <c r="I30" s="516"/>
      <c r="J30" s="516"/>
      <c r="K30" s="516"/>
    </row>
  </sheetData>
  <mergeCells count="11">
    <mergeCell ref="B18:K18"/>
    <mergeCell ref="B21:K21"/>
    <mergeCell ref="B24:K24"/>
    <mergeCell ref="B27:K27"/>
    <mergeCell ref="B30:K30"/>
    <mergeCell ref="B6:K6"/>
    <mergeCell ref="B4:K4"/>
    <mergeCell ref="B7:K7"/>
    <mergeCell ref="B9:K9"/>
    <mergeCell ref="B15:K15"/>
    <mergeCell ref="B12:K12"/>
  </mergeCells>
  <printOptions horizontalCentered="1"/>
  <pageMargins left="0.25" right="0" top="0.5" bottom="0.5" header="0.25" footer="0.25"/>
  <pageSetup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2" bestFit="1" customWidth="1"/>
    <col min="2" max="2" width="19.140625" style="36" bestFit="1" customWidth="1"/>
    <col min="3" max="20" width="12.140625" customWidth="1"/>
    <col min="21" max="21" width="12" customWidth="1"/>
    <col min="22" max="43" width="12.140625" customWidth="1"/>
  </cols>
  <sheetData>
    <row r="1" spans="1:45" ht="33" customHeight="1" x14ac:dyDescent="0.3">
      <c r="A1" s="187" t="s">
        <v>389</v>
      </c>
    </row>
    <row r="2" spans="1:45" s="78" customFormat="1" ht="14.45" x14ac:dyDescent="0.3">
      <c r="A2" s="122" t="s">
        <v>287</v>
      </c>
      <c r="B2" s="185"/>
      <c r="C2" s="152" t="s">
        <v>283</v>
      </c>
      <c r="D2" s="152" t="s">
        <v>283</v>
      </c>
      <c r="E2" s="152" t="s">
        <v>283</v>
      </c>
      <c r="F2" s="152" t="s">
        <v>283</v>
      </c>
      <c r="G2" s="152" t="s">
        <v>283</v>
      </c>
      <c r="H2" s="152" t="s">
        <v>283</v>
      </c>
      <c r="I2" s="152" t="s">
        <v>283</v>
      </c>
      <c r="J2" s="152" t="s">
        <v>283</v>
      </c>
      <c r="K2" s="152" t="s">
        <v>283</v>
      </c>
      <c r="L2" s="152" t="s">
        <v>283</v>
      </c>
      <c r="M2" s="152" t="s">
        <v>283</v>
      </c>
      <c r="N2" s="152" t="s">
        <v>283</v>
      </c>
      <c r="O2" s="152" t="s">
        <v>283</v>
      </c>
      <c r="P2" s="152" t="s">
        <v>283</v>
      </c>
      <c r="Q2" s="152" t="s">
        <v>283</v>
      </c>
      <c r="R2" s="152" t="s">
        <v>283</v>
      </c>
      <c r="S2" s="152" t="s">
        <v>283</v>
      </c>
      <c r="T2" s="152" t="s">
        <v>283</v>
      </c>
      <c r="U2" s="152" t="s">
        <v>283</v>
      </c>
      <c r="V2" s="152" t="s">
        <v>283</v>
      </c>
      <c r="W2" s="152" t="s">
        <v>283</v>
      </c>
      <c r="X2" s="152" t="s">
        <v>283</v>
      </c>
      <c r="Y2" s="152" t="s">
        <v>283</v>
      </c>
      <c r="Z2" s="152" t="s">
        <v>283</v>
      </c>
      <c r="AA2" s="152" t="s">
        <v>283</v>
      </c>
      <c r="AB2" s="152" t="s">
        <v>283</v>
      </c>
      <c r="AC2" s="152" t="s">
        <v>283</v>
      </c>
      <c r="AD2" s="152" t="s">
        <v>283</v>
      </c>
      <c r="AE2" s="152" t="s">
        <v>283</v>
      </c>
      <c r="AF2" s="152" t="s">
        <v>283</v>
      </c>
      <c r="AG2" s="152" t="s">
        <v>283</v>
      </c>
      <c r="AH2" s="152" t="s">
        <v>283</v>
      </c>
      <c r="AI2" s="152" t="s">
        <v>283</v>
      </c>
      <c r="AJ2" s="152" t="s">
        <v>283</v>
      </c>
      <c r="AK2" s="152" t="s">
        <v>283</v>
      </c>
      <c r="AL2" s="152" t="s">
        <v>283</v>
      </c>
      <c r="AM2" s="152" t="s">
        <v>283</v>
      </c>
      <c r="AN2" s="152" t="s">
        <v>283</v>
      </c>
      <c r="AO2" s="152" t="s">
        <v>283</v>
      </c>
      <c r="AP2" s="152" t="s">
        <v>283</v>
      </c>
      <c r="AQ2" s="152" t="s">
        <v>283</v>
      </c>
      <c r="AR2" s="152" t="s">
        <v>283</v>
      </c>
      <c r="AS2" s="152" t="s">
        <v>283</v>
      </c>
    </row>
    <row r="3" spans="1:45" s="179" customFormat="1" ht="130.15" thickBot="1" x14ac:dyDescent="0.35">
      <c r="A3" s="492" t="s">
        <v>290</v>
      </c>
      <c r="B3" s="490" t="s">
        <v>385</v>
      </c>
      <c r="C3" s="491" t="str">
        <f>CPT!$D$8</f>
        <v>Initial Assessment Diagnostic &amp; Treatment Plan</v>
      </c>
      <c r="D3" s="491" t="str">
        <f>CPT!$D$9</f>
        <v>Initial Assessment Diagnostic &amp; Treatment Plan with Medical Services</v>
      </c>
      <c r="E3" s="491" t="str">
        <f>CPT!$D$10</f>
        <v>Psychiatric Assessment - 30 mins</v>
      </c>
      <c r="F3" s="491" t="str">
        <f>CPT!$D$11</f>
        <v>Psychiatric Assessment - 30 mins - ADD ON</v>
      </c>
      <c r="G3" s="491" t="str">
        <f>CPT!$D$12</f>
        <v>Psychiatric Assessment - 45-50  mins</v>
      </c>
      <c r="H3" s="491" t="str">
        <f>CPT!$D$13</f>
        <v>Psych Assessm - Alt Codes - New/Estab Patient</v>
      </c>
      <c r="I3" s="491" t="str">
        <f>CPT!$D$14</f>
        <v>Psychiatric Consultation - New/Estab Patient</v>
      </c>
      <c r="J3" s="491" t="str">
        <f>CPT!$D$15</f>
        <v>Crisis Intervention - 15 min</v>
      </c>
      <c r="K3" s="491" t="str">
        <f>CPT!$D$16</f>
        <v>Crisis Intervention - per hour</v>
      </c>
      <c r="L3" s="491" t="str">
        <f>CPT!$D$17</f>
        <v>Crisis Intervention - per diem</v>
      </c>
      <c r="M3" s="491" t="str">
        <f>CPT!$D$18</f>
        <v>Injectable Med Admin with Monit &amp; Edu</v>
      </c>
      <c r="N3" s="491" t="str">
        <f>CPT!$D$19</f>
        <v>Injection Only - J Code (with Drug Purchase)</v>
      </c>
      <c r="O3" s="491" t="str">
        <f>CPT!$D$20</f>
        <v>Injection Only - J Code (without Drug Purchase)</v>
      </c>
      <c r="P3" s="491" t="str">
        <f>CPT!$D$21</f>
        <v>Psychotropic Medication Treatment - DX BASED</v>
      </c>
      <c r="Q3" s="491" t="str">
        <f>CPT!$D$22</f>
        <v>Psychotropic Medication Treatment - NOT DX BASED</v>
      </c>
      <c r="R3" s="491" t="str">
        <f>CPT!$D$23</f>
        <v>Psychotherapy - Indiv 30 mins</v>
      </c>
      <c r="S3" s="491" t="str">
        <f>CPT!$D$24</f>
        <v>Psychotherapy - Indiv 45 mins</v>
      </c>
      <c r="T3" s="491" t="str">
        <f>CPT!$D$25</f>
        <v>Psychotherapy - Family 30 mins</v>
      </c>
      <c r="U3" s="491" t="str">
        <f>CPT!$D$26</f>
        <v>Psychotherapy - Family&amp;Client 1 hr</v>
      </c>
      <c r="V3" s="491" t="str">
        <f>CPT!$D$27</f>
        <v>Psychotherapy - Family Group 1hr</v>
      </c>
      <c r="W3" s="491" t="str">
        <f>CPT!$D$28</f>
        <v>Psychotherapy - Group 1 hr</v>
      </c>
      <c r="X3" s="491" t="str">
        <f>CPT!$D$29</f>
        <v>School Based - Group &lt;1 hr</v>
      </c>
      <c r="Y3" s="491" t="str">
        <f>CPT!$D$30</f>
        <v>Developmental Testing - limited</v>
      </c>
      <c r="Z3" s="491" t="str">
        <f>CPT!$D$31</f>
        <v>Developmental Testing - extended</v>
      </c>
      <c r="AA3" s="491" t="str">
        <f>CPT!$D$32</f>
        <v>Psychological Testing - Various</v>
      </c>
      <c r="AB3" s="491" t="str">
        <f>CPT!$D$33</f>
        <v>Psychological Testing - Neurobehavioral</v>
      </c>
      <c r="AC3" s="491" t="str">
        <f>CPT!$D$34</f>
        <v>Psychological Testing - Various</v>
      </c>
      <c r="AD3" s="491" t="str">
        <f>CPT!$D$35</f>
        <v>Complex Care Management - 15 mins</v>
      </c>
      <c r="AE3" s="491" t="str">
        <f>CPT!$D$36</f>
        <v>Health Physicals - New/Estab Patient</v>
      </c>
      <c r="AF3" s="491" t="str">
        <f>CPT!$D$37</f>
        <v>Health Monitoring - 15 mins</v>
      </c>
      <c r="AG3" s="491" t="str">
        <f>CPT!$D$38</f>
        <v>Health Monitoring - 30 mins</v>
      </c>
      <c r="AH3" s="491" t="str">
        <f>CPT!$D$39</f>
        <v>Health Monitoring - 45 mins</v>
      </c>
      <c r="AI3" s="491" t="str">
        <f>CPT!$D$40</f>
        <v>Health Monitoring - 60 mins</v>
      </c>
      <c r="AJ3" s="491" t="str">
        <f>CPT!$D$41</f>
        <v>Health Monitoring Group - 30 mins</v>
      </c>
      <c r="AK3" s="491" t="str">
        <f>CPT!$D$42</f>
        <v>Health Monitoring Group - 60 mins</v>
      </c>
      <c r="AL3" s="491" t="str">
        <f>CPT!$D$43</f>
        <v>Smoking Cessation Treatment - 3-10 mins; requires Dx code 305.1</v>
      </c>
      <c r="AM3" s="491" t="str">
        <f>CPT!$D$44</f>
        <v>Smoking Cessation Treatment - &gt;10 mins; requires Dx code 305.1</v>
      </c>
      <c r="AN3" s="491" t="str">
        <f>CPT!$D$45</f>
        <v>Smoking Cessation Treatment (Group) - &gt;10 mins; requires Dx code 305.1 (req HQ modifier)</v>
      </c>
      <c r="AO3" s="491" t="str">
        <f>CPT!$D$46</f>
        <v>Alcohol and/or Drug Screening</v>
      </c>
      <c r="AP3" s="491" t="str">
        <f>CPT!$D$47</f>
        <v>Alcohol and/or Drug, brief intervention, per 15 mins</v>
      </c>
      <c r="AQ3" s="491" t="str">
        <f>CPT!F48</f>
        <v>TOTALS</v>
      </c>
      <c r="AR3" s="512" t="str">
        <f>CPT!G50</f>
        <v>Avg CPT wt:</v>
      </c>
      <c r="AS3" s="491" t="str">
        <f>CPT!K50</f>
        <v>Avg Rate /Unit:</v>
      </c>
    </row>
    <row r="4" spans="1:45" ht="18" x14ac:dyDescent="0.3">
      <c r="B4" s="487" t="s">
        <v>386</v>
      </c>
      <c r="C4" s="488">
        <f>CPT!$F$8</f>
        <v>1.0344</v>
      </c>
      <c r="D4" s="488">
        <f>CPT!$F$9</f>
        <v>1.0344</v>
      </c>
      <c r="E4" s="488">
        <f>CPT!$F$10</f>
        <v>0.66200000000000003</v>
      </c>
      <c r="F4" s="488">
        <f>CPT!$F$11</f>
        <v>0.37240000000000001</v>
      </c>
      <c r="G4" s="488">
        <f>CPT!$F$12</f>
        <v>0.66200000000000003</v>
      </c>
      <c r="H4" s="488">
        <f>CPT!$F$13</f>
        <v>0.66200000000000003</v>
      </c>
      <c r="I4" s="488">
        <f>CPT!$F$14</f>
        <v>0.66200000000000003</v>
      </c>
      <c r="J4" s="488">
        <f>CPT!$F$15</f>
        <v>0.4</v>
      </c>
      <c r="K4" s="488">
        <f>CPT!$F$16</f>
        <v>2.4136000000000002</v>
      </c>
      <c r="L4" s="488">
        <f>CPT!$F$17</f>
        <v>5.7927</v>
      </c>
      <c r="M4" s="488">
        <f>CPT!$F$18</f>
        <v>0.4138</v>
      </c>
      <c r="N4" s="488">
        <f>CPT!$F$19</f>
        <v>13.23</v>
      </c>
      <c r="O4" s="488">
        <f>CPT!$F$20</f>
        <v>13.23</v>
      </c>
      <c r="P4" s="488">
        <f>CPT!$F$21</f>
        <v>0.66200000000000003</v>
      </c>
      <c r="Q4" s="488">
        <f>CPT!$F$22</f>
        <v>0.66200000000000003</v>
      </c>
      <c r="R4" s="488">
        <f>CPT!$F$23</f>
        <v>0.62060000000000004</v>
      </c>
      <c r="S4" s="488">
        <f>CPT!$F$24</f>
        <v>0.82750000000000001</v>
      </c>
      <c r="T4" s="488">
        <f>CPT!$F$25</f>
        <v>0.62060000000000004</v>
      </c>
      <c r="U4" s="488">
        <f>CPT!$F$26</f>
        <v>1.2413000000000001</v>
      </c>
      <c r="V4" s="488">
        <f>CPT!$F$27</f>
        <v>0.32069999999999999</v>
      </c>
      <c r="W4" s="488">
        <f>CPT!$F$28</f>
        <v>0.32069999999999999</v>
      </c>
      <c r="X4" s="488">
        <f>CPT!$F$29</f>
        <v>0.22448999999999997</v>
      </c>
      <c r="Y4" s="488">
        <f>CPT!$F$30</f>
        <v>0.82750000000000001</v>
      </c>
      <c r="Z4" s="488">
        <f>CPT!$F$31</f>
        <v>1.2413000000000001</v>
      </c>
      <c r="AA4" s="488">
        <f>CPT!$F$32</f>
        <v>1.6551</v>
      </c>
      <c r="AB4" s="488">
        <f>CPT!$F$33</f>
        <v>1.6551</v>
      </c>
      <c r="AC4" s="488">
        <f>CPT!$F$34</f>
        <v>1.6551</v>
      </c>
      <c r="AD4" s="488">
        <f>CPT!$F$35</f>
        <v>0.28960000000000002</v>
      </c>
      <c r="AE4" s="488">
        <f>CPT!$F$36</f>
        <v>0.66200000000000003</v>
      </c>
      <c r="AF4" s="488">
        <f>CPT!$F$37</f>
        <v>0.25</v>
      </c>
      <c r="AG4" s="488">
        <f>CPT!$F$38</f>
        <v>0.31030000000000002</v>
      </c>
      <c r="AH4" s="488">
        <f>CPT!$F$39</f>
        <v>0.44819999999999999</v>
      </c>
      <c r="AI4" s="488">
        <f>CPT!$F$40</f>
        <v>0.58620000000000005</v>
      </c>
      <c r="AJ4" s="488">
        <f>CPT!$F$41</f>
        <v>0.13789999999999999</v>
      </c>
      <c r="AK4" s="488">
        <f>CPT!$F$42</f>
        <v>0.2414</v>
      </c>
      <c r="AL4" s="488">
        <f>CPT!$F$43</f>
        <v>0.12670000000000001</v>
      </c>
      <c r="AM4" s="488">
        <f>CPT!$F$44</f>
        <v>0.12670000000000001</v>
      </c>
      <c r="AN4" s="488">
        <f>CPT!$F$45</f>
        <v>8.5</v>
      </c>
      <c r="AO4" s="488">
        <f>CPT!$F$46</f>
        <v>0.28029999999999999</v>
      </c>
      <c r="AP4" s="488">
        <f>CPT!$F$47</f>
        <v>0.28029999999999999</v>
      </c>
      <c r="AQ4" s="488" t="str">
        <f>CPT!F48</f>
        <v>TOTALS</v>
      </c>
      <c r="AR4" s="488">
        <f>CPT!I50</f>
        <v>0.63546897880539488</v>
      </c>
      <c r="AS4" s="489">
        <f>CPT!L50</f>
        <v>105.68007707129094</v>
      </c>
    </row>
    <row r="5" spans="1:45" ht="18" x14ac:dyDescent="0.3">
      <c r="B5" s="482" t="s">
        <v>384</v>
      </c>
      <c r="C5" s="483">
        <f>CPT!$G$8</f>
        <v>0.05</v>
      </c>
      <c r="D5" s="483">
        <f>CPT!$G$9</f>
        <v>0</v>
      </c>
      <c r="E5" s="483">
        <f>CPT!$G$10</f>
        <v>0.05</v>
      </c>
      <c r="F5" s="483">
        <f>CPT!$G$11</f>
        <v>0</v>
      </c>
      <c r="G5" s="483">
        <f>CPT!$G$12</f>
        <v>0</v>
      </c>
      <c r="H5" s="483">
        <f>CPT!$G$13</f>
        <v>0</v>
      </c>
      <c r="I5" s="483">
        <f>CPT!$G$14</f>
        <v>0</v>
      </c>
      <c r="J5" s="483">
        <f>CPT!$G$15</f>
        <v>0</v>
      </c>
      <c r="K5" s="483">
        <f>CPT!$G$16</f>
        <v>0</v>
      </c>
      <c r="L5" s="483">
        <f>CPT!$G$17</f>
        <v>0</v>
      </c>
      <c r="M5" s="483">
        <f>CPT!$G$18</f>
        <v>0</v>
      </c>
      <c r="N5" s="483">
        <f>CPT!$G$19</f>
        <v>0</v>
      </c>
      <c r="O5" s="483">
        <f>CPT!$G$20</f>
        <v>0</v>
      </c>
      <c r="P5" s="483">
        <f>CPT!$G$21</f>
        <v>0.02</v>
      </c>
      <c r="Q5" s="483">
        <f>CPT!$G$22</f>
        <v>0</v>
      </c>
      <c r="R5" s="483">
        <f>CPT!$G$23</f>
        <v>0.4</v>
      </c>
      <c r="S5" s="483">
        <f>CPT!$G$24</f>
        <v>0</v>
      </c>
      <c r="T5" s="483">
        <f>CPT!$G$25</f>
        <v>0.4</v>
      </c>
      <c r="U5" s="483">
        <f>CPT!$G$26</f>
        <v>0.02</v>
      </c>
      <c r="V5" s="483">
        <f>CPT!$G$27</f>
        <v>0</v>
      </c>
      <c r="W5" s="483">
        <f>CPT!$G$28</f>
        <v>0.01</v>
      </c>
      <c r="X5" s="483">
        <f>CPT!$G$29</f>
        <v>0</v>
      </c>
      <c r="Y5" s="483">
        <f>CPT!$G$30</f>
        <v>0</v>
      </c>
      <c r="Z5" s="483">
        <f>CPT!$G$31</f>
        <v>0</v>
      </c>
      <c r="AA5" s="483">
        <f>CPT!$G$32</f>
        <v>0</v>
      </c>
      <c r="AB5" s="483">
        <f>CPT!$G$33</f>
        <v>0</v>
      </c>
      <c r="AC5" s="483">
        <f>CPT!$G$34</f>
        <v>0</v>
      </c>
      <c r="AD5" s="483">
        <f>CPT!$G$35</f>
        <v>0.01</v>
      </c>
      <c r="AE5" s="483">
        <f>CPT!$G$36</f>
        <v>0</v>
      </c>
      <c r="AF5" s="483">
        <f>CPT!$G$37</f>
        <v>0.04</v>
      </c>
      <c r="AG5" s="483">
        <f>CPT!$G$38</f>
        <v>0</v>
      </c>
      <c r="AH5" s="483">
        <f>CPT!$G$39</f>
        <v>0</v>
      </c>
      <c r="AI5" s="483">
        <f>CPT!$G$40</f>
        <v>0</v>
      </c>
      <c r="AJ5" s="483">
        <f>CPT!$G$41</f>
        <v>0</v>
      </c>
      <c r="AK5" s="483">
        <f>CPT!$G$42</f>
        <v>0</v>
      </c>
      <c r="AL5" s="483">
        <f>CPT!$G$43</f>
        <v>0</v>
      </c>
      <c r="AM5" s="483">
        <f>CPT!$G$44</f>
        <v>0</v>
      </c>
      <c r="AN5" s="483">
        <f>CPT!$G$45</f>
        <v>0</v>
      </c>
      <c r="AO5" s="483">
        <f>CPT!$G$46</f>
        <v>0</v>
      </c>
      <c r="AP5" s="483">
        <f>CPT!$G$47</f>
        <v>0</v>
      </c>
      <c r="AQ5" s="483">
        <f>CPT!G48</f>
        <v>1</v>
      </c>
      <c r="AR5" s="484"/>
      <c r="AS5" s="484"/>
    </row>
    <row r="6" spans="1:45" ht="18" x14ac:dyDescent="0.3">
      <c r="B6" s="482" t="s">
        <v>387</v>
      </c>
      <c r="C6" s="484">
        <f>CPT!$I$8</f>
        <v>1056</v>
      </c>
      <c r="D6" s="484">
        <f>CPT!$I$9</f>
        <v>0</v>
      </c>
      <c r="E6" s="484">
        <f>CPT!$I$10</f>
        <v>676</v>
      </c>
      <c r="F6" s="484">
        <f>CPT!$I$11</f>
        <v>0</v>
      </c>
      <c r="G6" s="484">
        <f>CPT!$I$12</f>
        <v>0</v>
      </c>
      <c r="H6" s="484">
        <f>CPT!$I$13</f>
        <v>0</v>
      </c>
      <c r="I6" s="484">
        <f>CPT!$I$14</f>
        <v>0</v>
      </c>
      <c r="J6" s="484">
        <f>CPT!$I$15</f>
        <v>0</v>
      </c>
      <c r="K6" s="484">
        <f>CPT!$I$16</f>
        <v>0</v>
      </c>
      <c r="L6" s="484">
        <f>CPT!$I$17</f>
        <v>0</v>
      </c>
      <c r="M6" s="484">
        <f>CPT!$I$18</f>
        <v>0</v>
      </c>
      <c r="N6" s="484">
        <f>CPT!$I$19</f>
        <v>0</v>
      </c>
      <c r="O6" s="484">
        <f>CPT!$I$20</f>
        <v>0</v>
      </c>
      <c r="P6" s="484">
        <f>CPT!$I$21</f>
        <v>270</v>
      </c>
      <c r="Q6" s="484">
        <f>CPT!$I$22</f>
        <v>0</v>
      </c>
      <c r="R6" s="484">
        <f>CPT!$I$23</f>
        <v>5069</v>
      </c>
      <c r="S6" s="484">
        <f>CPT!$I$24</f>
        <v>0</v>
      </c>
      <c r="T6" s="484">
        <f>CPT!$I$25</f>
        <v>5069</v>
      </c>
      <c r="U6" s="484">
        <f>CPT!$I$26</f>
        <v>507</v>
      </c>
      <c r="V6" s="484">
        <f>CPT!$I$27</f>
        <v>0</v>
      </c>
      <c r="W6" s="484">
        <f>CPT!$I$28</f>
        <v>65</v>
      </c>
      <c r="X6" s="484">
        <f>CPT!$I$29</f>
        <v>0</v>
      </c>
      <c r="Y6" s="484">
        <f>CPT!$I$30</f>
        <v>0</v>
      </c>
      <c r="Z6" s="484">
        <f>CPT!$I$31</f>
        <v>0</v>
      </c>
      <c r="AA6" s="484">
        <f>CPT!$I$32</f>
        <v>0</v>
      </c>
      <c r="AB6" s="484">
        <f>CPT!$I$33</f>
        <v>0</v>
      </c>
      <c r="AC6" s="484">
        <f>CPT!$I$34</f>
        <v>0</v>
      </c>
      <c r="AD6" s="484">
        <f>CPT!$I$35</f>
        <v>59</v>
      </c>
      <c r="AE6" s="484">
        <f>CPT!$I$36</f>
        <v>0</v>
      </c>
      <c r="AF6" s="484">
        <f>CPT!$I$37</f>
        <v>204</v>
      </c>
      <c r="AG6" s="484">
        <f>CPT!$I$38</f>
        <v>0</v>
      </c>
      <c r="AH6" s="484">
        <f>CPT!$I$39</f>
        <v>0</v>
      </c>
      <c r="AI6" s="484">
        <f>CPT!$I$40</f>
        <v>0</v>
      </c>
      <c r="AJ6" s="484">
        <f>CPT!$I$41</f>
        <v>0</v>
      </c>
      <c r="AK6" s="484">
        <f>CPT!$I$42</f>
        <v>0</v>
      </c>
      <c r="AL6" s="484">
        <f>CPT!$I$43</f>
        <v>0</v>
      </c>
      <c r="AM6" s="484">
        <f>CPT!$I$44</f>
        <v>0</v>
      </c>
      <c r="AN6" s="484">
        <f>CPT!$I$45</f>
        <v>0</v>
      </c>
      <c r="AO6" s="484">
        <f>CPT!$I$46</f>
        <v>0</v>
      </c>
      <c r="AP6" s="484">
        <f>CPT!$I$47</f>
        <v>0</v>
      </c>
      <c r="AQ6" s="485">
        <f>CPT!I48</f>
        <v>12975</v>
      </c>
      <c r="AR6" s="484"/>
      <c r="AS6" s="484"/>
    </row>
    <row r="7" spans="1:45" ht="18" x14ac:dyDescent="0.3">
      <c r="B7" s="482" t="s">
        <v>181</v>
      </c>
      <c r="C7" s="485">
        <f>CPT!$J$8</f>
        <v>1020.8995586528423</v>
      </c>
      <c r="D7" s="485">
        <f>CPT!$J$9</f>
        <v>0</v>
      </c>
      <c r="E7" s="485">
        <f>CPT!$J$10</f>
        <v>1020.8995586528423</v>
      </c>
      <c r="F7" s="485">
        <f>CPT!$J$11</f>
        <v>0</v>
      </c>
      <c r="G7" s="485">
        <f>CPT!$J$12</f>
        <v>0</v>
      </c>
      <c r="H7" s="485">
        <f>CPT!$J$13</f>
        <v>0</v>
      </c>
      <c r="I7" s="485">
        <f>CPT!$J$14</f>
        <v>0</v>
      </c>
      <c r="J7" s="485">
        <f>CPT!$J$15</f>
        <v>0</v>
      </c>
      <c r="K7" s="485">
        <f>CPT!$J$16</f>
        <v>0</v>
      </c>
      <c r="L7" s="485">
        <f>CPT!$J$17</f>
        <v>0</v>
      </c>
      <c r="M7" s="485">
        <f>CPT!$J$18</f>
        <v>0</v>
      </c>
      <c r="N7" s="485">
        <f>CPT!$J$19</f>
        <v>0</v>
      </c>
      <c r="O7" s="485">
        <f>CPT!$J$20</f>
        <v>0</v>
      </c>
      <c r="P7" s="485">
        <f>CPT!$J$21</f>
        <v>408.3598234611369</v>
      </c>
      <c r="Q7" s="485">
        <f>CPT!$J$22</f>
        <v>0</v>
      </c>
      <c r="R7" s="485">
        <f>CPT!$J$23</f>
        <v>8167.1964692227384</v>
      </c>
      <c r="S7" s="485">
        <f>CPT!$J$24</f>
        <v>0</v>
      </c>
      <c r="T7" s="485">
        <f>CPT!$J$25</f>
        <v>8167.1964692227384</v>
      </c>
      <c r="U7" s="485">
        <f>CPT!$J$26</f>
        <v>408.3598234611369</v>
      </c>
      <c r="V7" s="485">
        <f>CPT!$J$27</f>
        <v>0</v>
      </c>
      <c r="W7" s="485">
        <f>CPT!$J$28</f>
        <v>204.17991173056845</v>
      </c>
      <c r="X7" s="485">
        <f>CPT!$J$29</f>
        <v>0</v>
      </c>
      <c r="Y7" s="485">
        <f>CPT!$J$30</f>
        <v>0</v>
      </c>
      <c r="Z7" s="485">
        <f>CPT!$J$31</f>
        <v>0</v>
      </c>
      <c r="AA7" s="485">
        <f>CPT!$J$32</f>
        <v>0</v>
      </c>
      <c r="AB7" s="485">
        <f>CPT!$J$33</f>
        <v>0</v>
      </c>
      <c r="AC7" s="485">
        <f>CPT!$J$34</f>
        <v>0</v>
      </c>
      <c r="AD7" s="485">
        <f>CPT!$J$35</f>
        <v>204.17991173056845</v>
      </c>
      <c r="AE7" s="485">
        <f>CPT!$J$36</f>
        <v>0</v>
      </c>
      <c r="AF7" s="485">
        <f>CPT!$J$37</f>
        <v>816.7196469222738</v>
      </c>
      <c r="AG7" s="485">
        <f>CPT!$J$38</f>
        <v>0</v>
      </c>
      <c r="AH7" s="485">
        <f>CPT!$J$39</f>
        <v>0</v>
      </c>
      <c r="AI7" s="485">
        <f>CPT!$J$40</f>
        <v>0</v>
      </c>
      <c r="AJ7" s="485">
        <f>CPT!$J$41</f>
        <v>0</v>
      </c>
      <c r="AK7" s="485">
        <f>CPT!$J$42</f>
        <v>0</v>
      </c>
      <c r="AL7" s="485">
        <f>CPT!$J$43</f>
        <v>0</v>
      </c>
      <c r="AM7" s="485">
        <f>CPT!$J$44</f>
        <v>0</v>
      </c>
      <c r="AN7" s="485">
        <f>CPT!$J$45</f>
        <v>0</v>
      </c>
      <c r="AO7" s="485">
        <f>CPT!$J$46</f>
        <v>0</v>
      </c>
      <c r="AP7" s="485">
        <f>CPT!$J$47</f>
        <v>0</v>
      </c>
      <c r="AQ7" s="485">
        <f>CPT!J48</f>
        <v>20417.991173056842</v>
      </c>
      <c r="AR7" s="484"/>
      <c r="AS7" s="484"/>
    </row>
    <row r="8" spans="1:45" ht="18" x14ac:dyDescent="0.3">
      <c r="B8" s="482" t="s">
        <v>388</v>
      </c>
      <c r="C8" s="486">
        <f>CPT!$L$8</f>
        <v>111598</v>
      </c>
      <c r="D8" s="486">
        <f>CPT!$L$9</f>
        <v>0</v>
      </c>
      <c r="E8" s="486">
        <f>CPT!$L$10</f>
        <v>71440</v>
      </c>
      <c r="F8" s="486">
        <f>CPT!$L$11</f>
        <v>0</v>
      </c>
      <c r="G8" s="486">
        <f>CPT!$L$12</f>
        <v>0</v>
      </c>
      <c r="H8" s="486">
        <f>CPT!$L$13</f>
        <v>0</v>
      </c>
      <c r="I8" s="486">
        <f>CPT!$L$14</f>
        <v>0</v>
      </c>
      <c r="J8" s="486">
        <f>CPT!$L$15</f>
        <v>0</v>
      </c>
      <c r="K8" s="486">
        <f>CPT!$L$16</f>
        <v>0</v>
      </c>
      <c r="L8" s="486">
        <f>CPT!$L$17</f>
        <v>0</v>
      </c>
      <c r="M8" s="486">
        <f>CPT!$L$18</f>
        <v>0</v>
      </c>
      <c r="N8" s="486">
        <f>CPT!$L$19</f>
        <v>0</v>
      </c>
      <c r="O8" s="486">
        <f>CPT!$L$20</f>
        <v>0</v>
      </c>
      <c r="P8" s="486">
        <f>CPT!$L$21</f>
        <v>28534</v>
      </c>
      <c r="Q8" s="486">
        <f>CPT!$L$22</f>
        <v>0</v>
      </c>
      <c r="R8" s="486">
        <f>CPT!$L$23</f>
        <v>535692</v>
      </c>
      <c r="S8" s="486">
        <f>CPT!$L$24</f>
        <v>0</v>
      </c>
      <c r="T8" s="486">
        <f>CPT!$L$25</f>
        <v>535692</v>
      </c>
      <c r="U8" s="486">
        <f>CPT!$L$26</f>
        <v>53580</v>
      </c>
      <c r="V8" s="486">
        <f>CPT!$L$27</f>
        <v>0</v>
      </c>
      <c r="W8" s="486">
        <f>CPT!$L$28</f>
        <v>6869</v>
      </c>
      <c r="X8" s="486">
        <f>CPT!$L$29</f>
        <v>0</v>
      </c>
      <c r="Y8" s="486">
        <f>CPT!$L$30</f>
        <v>0</v>
      </c>
      <c r="Z8" s="486">
        <f>CPT!$L$31</f>
        <v>0</v>
      </c>
      <c r="AA8" s="486">
        <f>CPT!$L$32</f>
        <v>0</v>
      </c>
      <c r="AB8" s="486">
        <f>CPT!$L$33</f>
        <v>0</v>
      </c>
      <c r="AC8" s="486">
        <f>CPT!$L$34</f>
        <v>0</v>
      </c>
      <c r="AD8" s="486">
        <f>CPT!$L$35</f>
        <v>6235</v>
      </c>
      <c r="AE8" s="486">
        <f>CPT!$L$36</f>
        <v>0</v>
      </c>
      <c r="AF8" s="486">
        <f>CPT!$L$37</f>
        <v>21559</v>
      </c>
      <c r="AG8" s="486">
        <f>CPT!$L$38</f>
        <v>0</v>
      </c>
      <c r="AH8" s="486">
        <f>CPT!$L$39</f>
        <v>0</v>
      </c>
      <c r="AI8" s="486">
        <f>CPT!$L$40</f>
        <v>0</v>
      </c>
      <c r="AJ8" s="486">
        <f>CPT!$L$41</f>
        <v>0</v>
      </c>
      <c r="AK8" s="486">
        <f>CPT!$L$42</f>
        <v>0</v>
      </c>
      <c r="AL8" s="486">
        <f>CPT!$L$43</f>
        <v>0</v>
      </c>
      <c r="AM8" s="486">
        <f>CPT!$L$44</f>
        <v>0</v>
      </c>
      <c r="AN8" s="486">
        <f>CPT!$L$45</f>
        <v>0</v>
      </c>
      <c r="AO8" s="486">
        <f>CPT!$L$46</f>
        <v>0</v>
      </c>
      <c r="AP8" s="486">
        <f>CPT!$L$47</f>
        <v>0</v>
      </c>
      <c r="AQ8" s="486">
        <f>CPT!L48</f>
        <v>1371199</v>
      </c>
      <c r="AR8" s="484"/>
      <c r="AS8" s="484"/>
    </row>
    <row r="9" spans="1:45" ht="14.45" x14ac:dyDescent="0.3">
      <c r="B9" s="36" t="s">
        <v>404</v>
      </c>
      <c r="C9" s="28">
        <f>ROW(CPT!$G$8)</f>
        <v>8</v>
      </c>
      <c r="D9" s="28">
        <f>ROW(CPT!$G$9)</f>
        <v>9</v>
      </c>
      <c r="E9" s="28">
        <f>ROW(CPT!$G$10)</f>
        <v>10</v>
      </c>
      <c r="F9" s="28">
        <f>ROW(CPT!$G$11)</f>
        <v>11</v>
      </c>
      <c r="G9" s="28">
        <f>ROW(CPT!$G$12)</f>
        <v>12</v>
      </c>
      <c r="H9" s="28">
        <f>ROW(CPT!$G$13)</f>
        <v>13</v>
      </c>
      <c r="I9" s="28">
        <f>ROW(CPT!$G$14)</f>
        <v>14</v>
      </c>
      <c r="J9" s="28">
        <f>ROW(CPT!$G$15)</f>
        <v>15</v>
      </c>
      <c r="K9" s="28">
        <f>ROW(CPT!$G$16)</f>
        <v>16</v>
      </c>
      <c r="L9" s="28">
        <f>ROW(CPT!$G$17)</f>
        <v>17</v>
      </c>
      <c r="M9" s="28">
        <f>ROW(CPT!$G$18)</f>
        <v>18</v>
      </c>
      <c r="N9" s="28">
        <f>ROW(CPT!$G$19)</f>
        <v>19</v>
      </c>
      <c r="O9" s="28">
        <f>ROW(CPT!$G$20)</f>
        <v>20</v>
      </c>
      <c r="P9" s="28">
        <f>ROW(CPT!$G$21)</f>
        <v>21</v>
      </c>
      <c r="Q9" s="28">
        <f>ROW(CPT!$G$22)</f>
        <v>22</v>
      </c>
      <c r="R9" s="28">
        <f>ROW(CPT!$G$23)</f>
        <v>23</v>
      </c>
      <c r="S9" s="28">
        <f>ROW(CPT!$G$24)</f>
        <v>24</v>
      </c>
      <c r="T9" s="28">
        <f>ROW(CPT!$G$25)</f>
        <v>25</v>
      </c>
      <c r="U9" s="28">
        <f>ROW(CPT!$G$26)</f>
        <v>26</v>
      </c>
      <c r="V9" s="28">
        <f>ROW(CPT!$G$27)</f>
        <v>27</v>
      </c>
      <c r="W9" s="28">
        <f>ROW(CPT!$G$28)</f>
        <v>28</v>
      </c>
      <c r="X9" s="28">
        <f>ROW(CPT!$G$29)</f>
        <v>29</v>
      </c>
      <c r="Y9" s="28">
        <f>ROW(CPT!$G$30)</f>
        <v>30</v>
      </c>
      <c r="Z9" s="28">
        <f>ROW(CPT!$G$31)</f>
        <v>31</v>
      </c>
      <c r="AA9" s="28">
        <f>ROW(CPT!$G$32)</f>
        <v>32</v>
      </c>
      <c r="AB9" s="28">
        <f>ROW(CPT!$G$33)</f>
        <v>33</v>
      </c>
      <c r="AC9" s="28">
        <f>ROW(CPT!$G$34)</f>
        <v>34</v>
      </c>
      <c r="AD9" s="28">
        <f>ROW(CPT!$G$35)</f>
        <v>35</v>
      </c>
      <c r="AE9" s="28">
        <f>ROW(CPT!$G$36)</f>
        <v>36</v>
      </c>
      <c r="AF9" s="28">
        <f>ROW(CPT!$G$37)</f>
        <v>37</v>
      </c>
      <c r="AG9" s="28">
        <f>ROW(CPT!$G$38)</f>
        <v>38</v>
      </c>
      <c r="AH9" s="28">
        <f>ROW(CPT!$G$39)</f>
        <v>39</v>
      </c>
      <c r="AI9" s="28">
        <f>ROW(CPT!$G$40)</f>
        <v>40</v>
      </c>
      <c r="AJ9" s="28">
        <f>ROW(CPT!$G$41)</f>
        <v>41</v>
      </c>
      <c r="AK9" s="28">
        <f>ROW(CPT!$G$42)</f>
        <v>42</v>
      </c>
      <c r="AL9" s="28">
        <f>ROW(CPT!$G$43)</f>
        <v>43</v>
      </c>
      <c r="AM9" s="28">
        <f>ROW(CPT!$G$44)</f>
        <v>44</v>
      </c>
      <c r="AN9" s="28">
        <f>ROW(CPT!$G$45)</f>
        <v>45</v>
      </c>
      <c r="AO9" s="28">
        <f>ROW(CPT!$G$46)</f>
        <v>46</v>
      </c>
      <c r="AP9" s="28">
        <f>ROW(CPT!$G$47)</f>
        <v>47</v>
      </c>
      <c r="AQ9" s="28">
        <f>ROW(CPT!$G$48)</f>
        <v>48</v>
      </c>
    </row>
    <row r="11" spans="1:45" ht="14.45" x14ac:dyDescent="0.3">
      <c r="D11" s="186"/>
    </row>
    <row r="12" spans="1:45" ht="14.45" x14ac:dyDescent="0.3">
      <c r="D12" s="186"/>
    </row>
    <row r="13" spans="1:45" ht="14.45" x14ac:dyDescent="0.3">
      <c r="D13" s="186"/>
    </row>
    <row r="14" spans="1:45" ht="14.45" x14ac:dyDescent="0.3">
      <c r="D14" s="186"/>
    </row>
    <row r="15" spans="1:45" ht="14.45" x14ac:dyDescent="0.3">
      <c r="D15" s="186"/>
    </row>
    <row r="16" spans="1:45" ht="14.45" x14ac:dyDescent="0.3">
      <c r="D16" s="186"/>
    </row>
    <row r="17" spans="4:4" ht="14.45" x14ac:dyDescent="0.3">
      <c r="D17" s="186"/>
    </row>
    <row r="18" spans="4:4" ht="14.45" x14ac:dyDescent="0.3">
      <c r="D18" s="186"/>
    </row>
    <row r="19" spans="4:4" ht="14.45" x14ac:dyDescent="0.3">
      <c r="D19" s="186"/>
    </row>
    <row r="20" spans="4:4" ht="14.45" x14ac:dyDescent="0.3">
      <c r="D20" s="186"/>
    </row>
    <row r="21" spans="4:4" x14ac:dyDescent="0.25">
      <c r="D21" s="186"/>
    </row>
    <row r="22" spans="4:4" x14ac:dyDescent="0.25">
      <c r="D22" s="186"/>
    </row>
    <row r="23" spans="4:4" x14ac:dyDescent="0.25">
      <c r="D23" s="186"/>
    </row>
    <row r="24" spans="4:4" x14ac:dyDescent="0.25">
      <c r="D24" s="186"/>
    </row>
    <row r="25" spans="4:4" x14ac:dyDescent="0.25">
      <c r="D25" s="186"/>
    </row>
    <row r="26" spans="4:4" x14ac:dyDescent="0.25">
      <c r="D26" s="186"/>
    </row>
    <row r="27" spans="4:4" x14ac:dyDescent="0.25">
      <c r="D27" s="186"/>
    </row>
    <row r="28" spans="4:4" x14ac:dyDescent="0.25">
      <c r="D28" s="186"/>
    </row>
    <row r="29" spans="4:4" x14ac:dyDescent="0.25">
      <c r="D29" s="186"/>
    </row>
    <row r="30" spans="4:4" x14ac:dyDescent="0.25">
      <c r="D30" s="186"/>
    </row>
    <row r="31" spans="4:4" x14ac:dyDescent="0.25">
      <c r="D31" s="186"/>
    </row>
    <row r="32" spans="4:4" x14ac:dyDescent="0.25">
      <c r="D32" s="186"/>
    </row>
    <row r="33" spans="4:4" x14ac:dyDescent="0.25">
      <c r="D33" s="186"/>
    </row>
    <row r="34" spans="4:4" x14ac:dyDescent="0.25">
      <c r="D34" s="186"/>
    </row>
    <row r="35" spans="4:4" x14ac:dyDescent="0.25">
      <c r="D35" s="186"/>
    </row>
    <row r="36" spans="4:4" x14ac:dyDescent="0.25">
      <c r="D36" s="186"/>
    </row>
    <row r="37" spans="4:4" x14ac:dyDescent="0.25">
      <c r="D37" s="186"/>
    </row>
    <row r="38" spans="4:4" x14ac:dyDescent="0.25">
      <c r="D38" s="186"/>
    </row>
    <row r="39" spans="4:4" x14ac:dyDescent="0.25">
      <c r="D39" s="186"/>
    </row>
    <row r="40" spans="4:4" x14ac:dyDescent="0.25">
      <c r="D40" s="186"/>
    </row>
    <row r="41" spans="4:4" x14ac:dyDescent="0.25">
      <c r="D41" s="186"/>
    </row>
    <row r="42" spans="4:4" x14ac:dyDescent="0.25">
      <c r="D42" s="186"/>
    </row>
    <row r="43" spans="4:4" x14ac:dyDescent="0.25">
      <c r="D43" s="186"/>
    </row>
    <row r="44" spans="4:4" x14ac:dyDescent="0.25">
      <c r="D44" s="186"/>
    </row>
    <row r="45" spans="4:4" x14ac:dyDescent="0.25">
      <c r="D45" s="186"/>
    </row>
    <row r="46" spans="4:4" x14ac:dyDescent="0.25">
      <c r="D46" s="186"/>
    </row>
    <row r="47" spans="4:4" x14ac:dyDescent="0.25">
      <c r="D47" s="186"/>
    </row>
    <row r="48" spans="4:4" x14ac:dyDescent="0.25">
      <c r="D48" s="186"/>
    </row>
    <row r="49" spans="4:4" x14ac:dyDescent="0.25">
      <c r="D49" s="186"/>
    </row>
    <row r="50" spans="4:4" x14ac:dyDescent="0.25">
      <c r="D50" s="186"/>
    </row>
  </sheetData>
  <sheetProtection password="CEB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8"/>
  <sheetViews>
    <sheetView tabSelected="1" zoomScaleNormal="100" workbookViewId="0">
      <pane ySplit="13" topLeftCell="A32" activePane="bottomLeft" state="frozen"/>
      <selection pane="bottomLeft" activeCell="D37" sqref="D37"/>
    </sheetView>
  </sheetViews>
  <sheetFormatPr defaultColWidth="9.140625" defaultRowHeight="15" x14ac:dyDescent="0.25"/>
  <cols>
    <col min="1" max="1" width="8.140625" style="217" customWidth="1"/>
    <col min="2" max="2" width="29.5703125" style="206" customWidth="1"/>
    <col min="3" max="3" width="10.5703125" style="206" customWidth="1"/>
    <col min="4" max="4" width="10.140625" style="213" customWidth="1"/>
    <col min="5" max="5" width="11" style="213" customWidth="1"/>
    <col min="6" max="6" width="9.140625" style="208"/>
    <col min="7" max="7" width="9.28515625" style="213" bestFit="1" customWidth="1"/>
    <col min="8" max="9" width="10.7109375" style="221" customWidth="1"/>
    <col min="10" max="10" width="11.85546875" style="206" customWidth="1"/>
    <col min="11" max="11" width="6.42578125" style="206" customWidth="1"/>
    <col min="12" max="16384" width="9.140625" style="206"/>
  </cols>
  <sheetData>
    <row r="1" spans="1:11" ht="17.45" x14ac:dyDescent="0.3">
      <c r="A1" s="205" t="s">
        <v>163</v>
      </c>
      <c r="D1" s="207"/>
      <c r="E1" s="207"/>
      <c r="G1" s="209" t="s">
        <v>0</v>
      </c>
      <c r="H1" s="209"/>
      <c r="I1" s="209"/>
      <c r="J1" s="210"/>
      <c r="K1" s="211"/>
    </row>
    <row r="2" spans="1:11" ht="17.45" x14ac:dyDescent="0.3">
      <c r="A2" s="212" t="s">
        <v>200</v>
      </c>
      <c r="G2" s="214"/>
      <c r="H2" s="215" t="s">
        <v>2</v>
      </c>
      <c r="I2" s="215"/>
      <c r="J2" s="216"/>
    </row>
    <row r="3" spans="1:11" ht="14.45" x14ac:dyDescent="0.3">
      <c r="G3" s="218"/>
      <c r="H3" s="215" t="s">
        <v>4</v>
      </c>
      <c r="I3" s="215"/>
      <c r="J3" s="216"/>
    </row>
    <row r="4" spans="1:11" ht="14.45" x14ac:dyDescent="0.3">
      <c r="A4" s="219"/>
      <c r="B4" s="220" t="s">
        <v>167</v>
      </c>
      <c r="C4" s="39">
        <v>0.28000000000000003</v>
      </c>
      <c r="J4" s="216"/>
    </row>
    <row r="5" spans="1:11" ht="14.45" x14ac:dyDescent="0.3">
      <c r="B5" s="220" t="s">
        <v>166</v>
      </c>
      <c r="C5" s="37">
        <v>40</v>
      </c>
      <c r="H5" s="222"/>
      <c r="I5" s="222"/>
      <c r="J5" s="216"/>
    </row>
    <row r="6" spans="1:11" ht="14.45" x14ac:dyDescent="0.3">
      <c r="B6" s="223"/>
      <c r="C6" s="213"/>
      <c r="H6" s="216"/>
      <c r="I6" s="216"/>
      <c r="J6" s="216"/>
    </row>
    <row r="7" spans="1:11" ht="14.45" x14ac:dyDescent="0.3">
      <c r="B7" s="518" t="s">
        <v>189</v>
      </c>
      <c r="C7" s="519"/>
      <c r="D7" s="519"/>
      <c r="E7" s="520"/>
      <c r="H7" s="216"/>
      <c r="I7" s="216"/>
      <c r="J7" s="216"/>
    </row>
    <row r="8" spans="1:11" ht="14.45" x14ac:dyDescent="0.3">
      <c r="B8" s="224"/>
      <c r="C8" s="225" t="s">
        <v>100</v>
      </c>
      <c r="D8" s="225" t="s">
        <v>101</v>
      </c>
      <c r="E8" s="226" t="s">
        <v>204</v>
      </c>
      <c r="H8" s="213"/>
      <c r="I8" s="213"/>
      <c r="J8" s="213"/>
    </row>
    <row r="9" spans="1:11" ht="14.45" x14ac:dyDescent="0.3">
      <c r="B9" s="227" t="s">
        <v>187</v>
      </c>
      <c r="C9" s="253">
        <f>G14+G22+G30+G38+G46+G54+G62+G70+G78+G86+G94+G102+G110+G118+G126</f>
        <v>5.55</v>
      </c>
      <c r="D9" s="254">
        <f>H14+H22+H30+H38+H46+H54+H62+H70+H78+H86+H94+H102+H110+H118+H126</f>
        <v>218032.9</v>
      </c>
      <c r="E9" s="254">
        <f>D9*C4</f>
        <v>61049.212000000007</v>
      </c>
      <c r="F9" s="217"/>
      <c r="G9" s="314"/>
      <c r="H9" s="206"/>
      <c r="I9" s="206"/>
      <c r="K9" s="228"/>
    </row>
    <row r="10" spans="1:11" thickBot="1" x14ac:dyDescent="0.35">
      <c r="A10" s="229"/>
      <c r="B10" s="230" t="s">
        <v>188</v>
      </c>
      <c r="C10" s="255">
        <f>(D14+D22+D30+D38+D46+D54+D62+D70+D78+D86+D94+D102+D110+D118+D126)-C9</f>
        <v>0.45000000000000018</v>
      </c>
      <c r="D10" s="256">
        <f>J14+J22+J30+J38+J46+J54+J62+J70+J78+J86+J94+J102+J110+J118+J126</f>
        <v>19526.099999999999</v>
      </c>
      <c r="E10" s="256">
        <f>D10*C4</f>
        <v>5467.308</v>
      </c>
      <c r="F10" s="217"/>
      <c r="G10" s="206"/>
      <c r="H10" s="206"/>
      <c r="I10" s="231"/>
    </row>
    <row r="11" spans="1:11" s="233" customFormat="1" ht="17.25" customHeight="1" x14ac:dyDescent="0.25">
      <c r="A11" s="229" t="s">
        <v>3</v>
      </c>
      <c r="B11" s="232" t="s">
        <v>224</v>
      </c>
      <c r="C11" s="257">
        <f>SUM(C9:C10)</f>
        <v>6</v>
      </c>
      <c r="D11" s="258">
        <f t="shared" ref="D11:E11" si="0">SUM(D9:D10)</f>
        <v>237559</v>
      </c>
      <c r="E11" s="258">
        <f t="shared" si="0"/>
        <v>66516.52</v>
      </c>
      <c r="F11" s="229"/>
      <c r="G11" s="500"/>
      <c r="H11" s="229"/>
      <c r="I11" s="229"/>
      <c r="J11" s="229"/>
    </row>
    <row r="12" spans="1:11" s="233" customFormat="1" ht="13.15" x14ac:dyDescent="0.25">
      <c r="A12" s="229"/>
      <c r="B12" s="234"/>
      <c r="C12" s="234"/>
      <c r="D12" s="234"/>
      <c r="E12" s="234"/>
      <c r="F12" s="229"/>
      <c r="G12" s="234"/>
      <c r="H12" s="234"/>
      <c r="I12" s="234"/>
      <c r="J12" s="234"/>
    </row>
    <row r="13" spans="1:11" ht="48" customHeight="1" thickBot="1" x14ac:dyDescent="0.35">
      <c r="A13" s="235" t="s">
        <v>5</v>
      </c>
      <c r="B13" s="235" t="s">
        <v>6</v>
      </c>
      <c r="C13" s="235"/>
      <c r="D13" s="236" t="s">
        <v>7</v>
      </c>
      <c r="E13" s="237" t="s">
        <v>192</v>
      </c>
      <c r="F13" s="236" t="s">
        <v>98</v>
      </c>
      <c r="G13" s="236" t="s">
        <v>97</v>
      </c>
      <c r="H13" s="236" t="s">
        <v>107</v>
      </c>
      <c r="I13" s="237" t="s">
        <v>225</v>
      </c>
      <c r="J13" s="236" t="s">
        <v>108</v>
      </c>
    </row>
    <row r="14" spans="1:11" s="233" customFormat="1" ht="13.9" thickBot="1" x14ac:dyDescent="0.3">
      <c r="A14" s="259">
        <v>315</v>
      </c>
      <c r="B14" s="260" t="s">
        <v>8</v>
      </c>
      <c r="C14" s="260" t="s">
        <v>99</v>
      </c>
      <c r="D14" s="261">
        <f>SUM(D15:D20)</f>
        <v>1</v>
      </c>
      <c r="E14" s="261"/>
      <c r="F14" s="262"/>
      <c r="G14" s="263">
        <f>SUM(G15:G20)</f>
        <v>1</v>
      </c>
      <c r="H14" s="264">
        <f>SUM(H15:H20)</f>
        <v>25000</v>
      </c>
      <c r="I14" s="265">
        <f>SUM(I15:I20)</f>
        <v>0</v>
      </c>
      <c r="J14" s="266">
        <f>SUM(J15:J20)</f>
        <v>0</v>
      </c>
    </row>
    <row r="15" spans="1:11" ht="14.45" x14ac:dyDescent="0.3">
      <c r="B15" s="18" t="s">
        <v>9</v>
      </c>
      <c r="C15" s="30">
        <v>25000</v>
      </c>
      <c r="D15" s="19">
        <v>1</v>
      </c>
      <c r="E15" s="53" t="s">
        <v>185</v>
      </c>
      <c r="F15" s="32">
        <v>1</v>
      </c>
      <c r="G15" s="267">
        <f>IF(D15&gt;0,D15*F15,0)</f>
        <v>1</v>
      </c>
      <c r="H15" s="268">
        <f>IF(F15&gt;0,(G15*C15),0)</f>
        <v>25000</v>
      </c>
      <c r="I15" s="267">
        <f t="shared" ref="I15" si="1">ROUND(D15-G15,4)</f>
        <v>0</v>
      </c>
      <c r="J15" s="268">
        <f>IF(F15&gt;0,((D15*C15)-H15),0)</f>
        <v>0</v>
      </c>
    </row>
    <row r="16" spans="1:11" ht="14.45" x14ac:dyDescent="0.3">
      <c r="B16" s="18" t="s">
        <v>10</v>
      </c>
      <c r="C16" s="30"/>
      <c r="D16" s="19"/>
      <c r="E16" s="19"/>
      <c r="F16" s="32"/>
      <c r="G16" s="267">
        <f t="shared" ref="G16:G19" si="2">IF(D16&gt;0,D16*F16,0)</f>
        <v>0</v>
      </c>
      <c r="H16" s="268">
        <f t="shared" ref="H16:H19" si="3">IF(F16&gt;0,(G16*C16),0)</f>
        <v>0</v>
      </c>
      <c r="I16" s="267">
        <f t="shared" ref="I16:I19" si="4">ROUND(D16-G16,4)</f>
        <v>0</v>
      </c>
      <c r="J16" s="268">
        <f t="shared" ref="J16:J19" si="5">IF(F16&gt;0,((D16*C16)-H16),0)</f>
        <v>0</v>
      </c>
    </row>
    <row r="17" spans="1:10" ht="14.45" x14ac:dyDescent="0.3">
      <c r="B17" s="18" t="s">
        <v>11</v>
      </c>
      <c r="C17" s="30"/>
      <c r="D17" s="19"/>
      <c r="E17" s="19"/>
      <c r="F17" s="32"/>
      <c r="G17" s="267">
        <f t="shared" si="2"/>
        <v>0</v>
      </c>
      <c r="H17" s="268">
        <f t="shared" si="3"/>
        <v>0</v>
      </c>
      <c r="I17" s="267">
        <f t="shared" si="4"/>
        <v>0</v>
      </c>
      <c r="J17" s="268">
        <f t="shared" si="5"/>
        <v>0</v>
      </c>
    </row>
    <row r="18" spans="1:10" ht="14.45" x14ac:dyDescent="0.3">
      <c r="B18" s="18" t="s">
        <v>12</v>
      </c>
      <c r="C18" s="30"/>
      <c r="D18" s="19"/>
      <c r="E18" s="19"/>
      <c r="F18" s="32"/>
      <c r="G18" s="267">
        <f t="shared" si="2"/>
        <v>0</v>
      </c>
      <c r="H18" s="268">
        <f t="shared" si="3"/>
        <v>0</v>
      </c>
      <c r="I18" s="267">
        <f t="shared" si="4"/>
        <v>0</v>
      </c>
      <c r="J18" s="268">
        <f t="shared" si="5"/>
        <v>0</v>
      </c>
    </row>
    <row r="19" spans="1:10" ht="14.45" x14ac:dyDescent="0.3">
      <c r="B19" s="18" t="s">
        <v>13</v>
      </c>
      <c r="C19" s="30"/>
      <c r="D19" s="19"/>
      <c r="E19" s="19"/>
      <c r="F19" s="32"/>
      <c r="G19" s="267">
        <f t="shared" si="2"/>
        <v>0</v>
      </c>
      <c r="H19" s="268">
        <f t="shared" si="3"/>
        <v>0</v>
      </c>
      <c r="I19" s="267">
        <f t="shared" si="4"/>
        <v>0</v>
      </c>
      <c r="J19" s="268">
        <f t="shared" si="5"/>
        <v>0</v>
      </c>
    </row>
    <row r="20" spans="1:10" ht="14.45" x14ac:dyDescent="0.3">
      <c r="B20" s="244" t="s">
        <v>14</v>
      </c>
      <c r="C20" s="244"/>
      <c r="D20" s="245"/>
      <c r="E20" s="245"/>
      <c r="F20" s="246"/>
      <c r="G20" s="245"/>
      <c r="H20" s="23"/>
      <c r="I20" s="23"/>
      <c r="J20" s="23"/>
    </row>
    <row r="21" spans="1:10" ht="14.45" x14ac:dyDescent="0.3">
      <c r="H21" s="247"/>
      <c r="I21" s="247"/>
      <c r="J21" s="248"/>
    </row>
    <row r="22" spans="1:10" s="233" customFormat="1" ht="19.5" customHeight="1" thickBot="1" x14ac:dyDescent="0.3">
      <c r="A22" s="238">
        <v>316</v>
      </c>
      <c r="B22" s="239" t="s">
        <v>15</v>
      </c>
      <c r="C22" s="239"/>
      <c r="D22" s="240">
        <f>SUM(D23:D28)</f>
        <v>0</v>
      </c>
      <c r="E22" s="240"/>
      <c r="F22" s="241"/>
      <c r="G22" s="242">
        <f>SUM(G23:G28)</f>
        <v>0</v>
      </c>
      <c r="H22" s="243">
        <f>SUM(H23:H28)</f>
        <v>0</v>
      </c>
      <c r="I22" s="242">
        <f>SUM(I23:I28)</f>
        <v>0</v>
      </c>
      <c r="J22" s="243">
        <f>SUM(J23:J28)</f>
        <v>0</v>
      </c>
    </row>
    <row r="23" spans="1:10" ht="19.5" customHeight="1" x14ac:dyDescent="0.3">
      <c r="B23" s="24" t="s">
        <v>172</v>
      </c>
      <c r="C23" s="30" t="s">
        <v>3</v>
      </c>
      <c r="D23" s="19">
        <v>0</v>
      </c>
      <c r="E23" s="19" t="s">
        <v>3</v>
      </c>
      <c r="F23" s="32"/>
      <c r="G23" s="33">
        <f>IF(D23&gt;0,D23*F23,0)</f>
        <v>0</v>
      </c>
      <c r="H23" s="20">
        <f>IF(F23&gt;0,(G23*C23),0)</f>
        <v>0</v>
      </c>
      <c r="I23" s="33">
        <f t="shared" ref="I23:I27" si="6">ROUND(D23-G23,4)</f>
        <v>0</v>
      </c>
      <c r="J23" s="20">
        <f>IF(F23&gt;0,((D23*C23)-H23),0)</f>
        <v>0</v>
      </c>
    </row>
    <row r="24" spans="1:10" ht="14.45" x14ac:dyDescent="0.3">
      <c r="B24" s="24" t="s">
        <v>16</v>
      </c>
      <c r="C24" s="30"/>
      <c r="D24" s="19">
        <v>0</v>
      </c>
      <c r="E24" s="19"/>
      <c r="F24" s="31"/>
      <c r="G24" s="33">
        <f t="shared" ref="G24:G27" si="7">IF(D24&gt;0,D24*F24,0)</f>
        <v>0</v>
      </c>
      <c r="H24" s="20">
        <f t="shared" ref="H24:H27" si="8">IF(F24&gt;0,(G24*C24),0)</f>
        <v>0</v>
      </c>
      <c r="I24" s="33">
        <f t="shared" si="6"/>
        <v>0</v>
      </c>
      <c r="J24" s="20">
        <f t="shared" ref="J24:J27" si="9">IF(F24&gt;0,((D24*C24)-H24),0)</f>
        <v>0</v>
      </c>
    </row>
    <row r="25" spans="1:10" ht="14.45" x14ac:dyDescent="0.3">
      <c r="B25" s="24" t="s">
        <v>17</v>
      </c>
      <c r="C25" s="30"/>
      <c r="D25" s="19">
        <v>0</v>
      </c>
      <c r="E25" s="19"/>
      <c r="F25" s="31"/>
      <c r="G25" s="33">
        <f t="shared" si="7"/>
        <v>0</v>
      </c>
      <c r="H25" s="20">
        <f t="shared" si="8"/>
        <v>0</v>
      </c>
      <c r="I25" s="33">
        <f t="shared" si="6"/>
        <v>0</v>
      </c>
      <c r="J25" s="20">
        <f t="shared" si="9"/>
        <v>0</v>
      </c>
    </row>
    <row r="26" spans="1:10" ht="14.45" x14ac:dyDescent="0.3">
      <c r="B26" s="24" t="s">
        <v>18</v>
      </c>
      <c r="C26" s="30"/>
      <c r="D26" s="19">
        <v>0</v>
      </c>
      <c r="E26" s="19"/>
      <c r="F26" s="31"/>
      <c r="G26" s="33">
        <f t="shared" si="7"/>
        <v>0</v>
      </c>
      <c r="H26" s="20">
        <f t="shared" si="8"/>
        <v>0</v>
      </c>
      <c r="I26" s="33">
        <f t="shared" si="6"/>
        <v>0</v>
      </c>
      <c r="J26" s="20">
        <f t="shared" si="9"/>
        <v>0</v>
      </c>
    </row>
    <row r="27" spans="1:10" ht="14.45" x14ac:dyDescent="0.3">
      <c r="B27" s="24" t="s">
        <v>19</v>
      </c>
      <c r="C27" s="30"/>
      <c r="D27" s="19">
        <v>0</v>
      </c>
      <c r="E27" s="19"/>
      <c r="F27" s="31"/>
      <c r="G27" s="33">
        <f t="shared" si="7"/>
        <v>0</v>
      </c>
      <c r="H27" s="20">
        <f t="shared" si="8"/>
        <v>0</v>
      </c>
      <c r="I27" s="33">
        <f t="shared" si="6"/>
        <v>0</v>
      </c>
      <c r="J27" s="20">
        <f t="shared" si="9"/>
        <v>0</v>
      </c>
    </row>
    <row r="28" spans="1:10" ht="14.45" x14ac:dyDescent="0.3">
      <c r="B28" s="244" t="s">
        <v>14</v>
      </c>
      <c r="C28" s="244"/>
      <c r="D28" s="245"/>
      <c r="E28" s="245"/>
      <c r="F28" s="246"/>
      <c r="G28" s="245"/>
      <c r="H28" s="23"/>
      <c r="I28" s="23"/>
      <c r="J28" s="23"/>
    </row>
    <row r="29" spans="1:10" ht="14.45" x14ac:dyDescent="0.3">
      <c r="H29" s="247"/>
      <c r="I29" s="247"/>
      <c r="J29" s="248"/>
    </row>
    <row r="30" spans="1:10" s="233" customFormat="1" ht="13.9" thickBot="1" x14ac:dyDescent="0.3">
      <c r="A30" s="238">
        <v>317</v>
      </c>
      <c r="B30" s="239" t="s">
        <v>20</v>
      </c>
      <c r="C30" s="239"/>
      <c r="D30" s="240">
        <f>SUM(D31:D36)</f>
        <v>1</v>
      </c>
      <c r="E30" s="240"/>
      <c r="F30" s="241"/>
      <c r="G30" s="242">
        <f>SUM(G31:G36)</f>
        <v>0.75</v>
      </c>
      <c r="H30" s="243">
        <f>SUM(H31:H36)</f>
        <v>34117.5</v>
      </c>
      <c r="I30" s="242">
        <f>SUM(I31:I36)</f>
        <v>0.25</v>
      </c>
      <c r="J30" s="243">
        <f>SUM(J31:J36)</f>
        <v>11372.5</v>
      </c>
    </row>
    <row r="31" spans="1:10" ht="14.45" x14ac:dyDescent="0.3">
      <c r="B31" s="18" t="s">
        <v>173</v>
      </c>
      <c r="C31" s="30">
        <v>45490</v>
      </c>
      <c r="D31" s="19">
        <v>1</v>
      </c>
      <c r="E31" s="31" t="s">
        <v>185</v>
      </c>
      <c r="F31" s="32">
        <v>0.75</v>
      </c>
      <c r="G31" s="33">
        <f>IF(D31&gt;0,D31*F31,0)</f>
        <v>0.75</v>
      </c>
      <c r="H31" s="20">
        <f>IF(F31&gt;0,(G31*C31),0)</f>
        <v>34117.5</v>
      </c>
      <c r="I31" s="33">
        <f t="shared" ref="I31:I35" si="10">ROUND(D31-G31,4)</f>
        <v>0.25</v>
      </c>
      <c r="J31" s="20">
        <f>IF(F31&gt;0,((D31*C31)-H31),0)</f>
        <v>11372.5</v>
      </c>
    </row>
    <row r="32" spans="1:10" x14ac:dyDescent="0.25">
      <c r="B32" s="18" t="s">
        <v>21</v>
      </c>
      <c r="C32" s="30"/>
      <c r="D32" s="19"/>
      <c r="E32" s="31"/>
      <c r="F32" s="32"/>
      <c r="G32" s="33">
        <f t="shared" ref="G32:G35" si="11">IF(D32&gt;0,D32*F32,0)</f>
        <v>0</v>
      </c>
      <c r="H32" s="20">
        <f t="shared" ref="H32:H35" si="12">IF(F32&gt;0,(G32*C32),0)</f>
        <v>0</v>
      </c>
      <c r="I32" s="33">
        <f t="shared" si="10"/>
        <v>0</v>
      </c>
      <c r="J32" s="20">
        <f t="shared" ref="J32:J35" si="13">IF(F32&gt;0,((D32*C32)-H32),0)</f>
        <v>0</v>
      </c>
    </row>
    <row r="33" spans="1:10" x14ac:dyDescent="0.25">
      <c r="B33" s="18" t="s">
        <v>22</v>
      </c>
      <c r="C33" s="30"/>
      <c r="D33" s="19"/>
      <c r="E33" s="19"/>
      <c r="F33" s="32"/>
      <c r="G33" s="33">
        <f t="shared" si="11"/>
        <v>0</v>
      </c>
      <c r="H33" s="20">
        <f t="shared" si="12"/>
        <v>0</v>
      </c>
      <c r="I33" s="33">
        <f t="shared" si="10"/>
        <v>0</v>
      </c>
      <c r="J33" s="20">
        <f t="shared" si="13"/>
        <v>0</v>
      </c>
    </row>
    <row r="34" spans="1:10" x14ac:dyDescent="0.25">
      <c r="B34" s="18" t="s">
        <v>23</v>
      </c>
      <c r="C34" s="30"/>
      <c r="D34" s="19">
        <v>0</v>
      </c>
      <c r="E34" s="19"/>
      <c r="F34" s="32"/>
      <c r="G34" s="33">
        <f t="shared" si="11"/>
        <v>0</v>
      </c>
      <c r="H34" s="20">
        <f t="shared" si="12"/>
        <v>0</v>
      </c>
      <c r="I34" s="33">
        <f t="shared" si="10"/>
        <v>0</v>
      </c>
      <c r="J34" s="20">
        <f t="shared" si="13"/>
        <v>0</v>
      </c>
    </row>
    <row r="35" spans="1:10" x14ac:dyDescent="0.25">
      <c r="B35" s="18" t="s">
        <v>24</v>
      </c>
      <c r="C35" s="30"/>
      <c r="D35" s="19">
        <v>0</v>
      </c>
      <c r="E35" s="19"/>
      <c r="F35" s="32"/>
      <c r="G35" s="33">
        <f t="shared" si="11"/>
        <v>0</v>
      </c>
      <c r="H35" s="20">
        <f t="shared" si="12"/>
        <v>0</v>
      </c>
      <c r="I35" s="33">
        <f t="shared" si="10"/>
        <v>0</v>
      </c>
      <c r="J35" s="20">
        <f t="shared" si="13"/>
        <v>0</v>
      </c>
    </row>
    <row r="36" spans="1:10" x14ac:dyDescent="0.25">
      <c r="B36" s="244" t="s">
        <v>14</v>
      </c>
      <c r="C36" s="244"/>
      <c r="D36" s="245"/>
      <c r="E36" s="245"/>
      <c r="F36" s="246"/>
      <c r="G36" s="245"/>
      <c r="H36" s="23"/>
      <c r="I36" s="23"/>
      <c r="J36" s="23"/>
    </row>
    <row r="37" spans="1:10" x14ac:dyDescent="0.25">
      <c r="H37" s="247"/>
      <c r="I37" s="247"/>
      <c r="J37" s="248"/>
    </row>
    <row r="38" spans="1:10" s="233" customFormat="1" ht="13.5" thickBot="1" x14ac:dyDescent="0.25">
      <c r="A38" s="238">
        <v>318</v>
      </c>
      <c r="B38" s="239" t="s">
        <v>25</v>
      </c>
      <c r="C38" s="239"/>
      <c r="D38" s="240">
        <f>SUM(D39:D44)</f>
        <v>0</v>
      </c>
      <c r="E38" s="240"/>
      <c r="F38" s="241"/>
      <c r="G38" s="242">
        <f>SUM(G39:G44)</f>
        <v>0</v>
      </c>
      <c r="H38" s="243">
        <f>SUM(H39:H44)</f>
        <v>0</v>
      </c>
      <c r="I38" s="242">
        <f>SUM(I39:I44)</f>
        <v>0</v>
      </c>
      <c r="J38" s="243">
        <f>SUM(J39:J44)</f>
        <v>0</v>
      </c>
    </row>
    <row r="39" spans="1:10" x14ac:dyDescent="0.25">
      <c r="B39" s="18" t="s">
        <v>26</v>
      </c>
      <c r="C39" s="30"/>
      <c r="D39" s="19"/>
      <c r="E39" s="31"/>
      <c r="F39" s="32"/>
      <c r="G39" s="33">
        <f>IF(D39&gt;0,D39*F39,0)</f>
        <v>0</v>
      </c>
      <c r="H39" s="20">
        <f>IF(F39&gt;0,(G39*C39),0)</f>
        <v>0</v>
      </c>
      <c r="I39" s="33">
        <f t="shared" ref="I39:I43" si="14">ROUND(D39-G39,4)</f>
        <v>0</v>
      </c>
      <c r="J39" s="20">
        <f>IF(F39&gt;0,((D39*C39)-H39),0)</f>
        <v>0</v>
      </c>
    </row>
    <row r="40" spans="1:10" x14ac:dyDescent="0.25">
      <c r="B40" s="18" t="s">
        <v>27</v>
      </c>
      <c r="C40" s="30"/>
      <c r="D40" s="19">
        <v>0</v>
      </c>
      <c r="E40" s="31"/>
      <c r="F40" s="32"/>
      <c r="G40" s="33">
        <f t="shared" ref="G40:G43" si="15">IF(D40&gt;0,D40*F40,0)</f>
        <v>0</v>
      </c>
      <c r="H40" s="20">
        <f t="shared" ref="H40:H43" si="16">IF(F40&gt;0,(G40*C40),0)</f>
        <v>0</v>
      </c>
      <c r="I40" s="33">
        <f t="shared" si="14"/>
        <v>0</v>
      </c>
      <c r="J40" s="20">
        <f t="shared" ref="J40:J43" si="17">IF(F40&gt;0,((D40*C40)-H40),0)</f>
        <v>0</v>
      </c>
    </row>
    <row r="41" spans="1:10" x14ac:dyDescent="0.25">
      <c r="B41" s="18" t="s">
        <v>28</v>
      </c>
      <c r="C41" s="30"/>
      <c r="D41" s="19">
        <v>0</v>
      </c>
      <c r="E41" s="19"/>
      <c r="F41" s="32"/>
      <c r="G41" s="33">
        <f t="shared" si="15"/>
        <v>0</v>
      </c>
      <c r="H41" s="20">
        <f t="shared" si="16"/>
        <v>0</v>
      </c>
      <c r="I41" s="33">
        <f t="shared" si="14"/>
        <v>0</v>
      </c>
      <c r="J41" s="20">
        <f t="shared" si="17"/>
        <v>0</v>
      </c>
    </row>
    <row r="42" spans="1:10" x14ac:dyDescent="0.25">
      <c r="B42" s="18" t="s">
        <v>29</v>
      </c>
      <c r="C42" s="30"/>
      <c r="D42" s="19">
        <v>0</v>
      </c>
      <c r="E42" s="19"/>
      <c r="F42" s="32"/>
      <c r="G42" s="33">
        <f t="shared" si="15"/>
        <v>0</v>
      </c>
      <c r="H42" s="20">
        <f t="shared" si="16"/>
        <v>0</v>
      </c>
      <c r="I42" s="33">
        <f t="shared" si="14"/>
        <v>0</v>
      </c>
      <c r="J42" s="20">
        <f t="shared" si="17"/>
        <v>0</v>
      </c>
    </row>
    <row r="43" spans="1:10" x14ac:dyDescent="0.25">
      <c r="B43" s="18" t="s">
        <v>30</v>
      </c>
      <c r="C43" s="30"/>
      <c r="D43" s="19">
        <v>0</v>
      </c>
      <c r="E43" s="19"/>
      <c r="F43" s="32"/>
      <c r="G43" s="33">
        <f t="shared" si="15"/>
        <v>0</v>
      </c>
      <c r="H43" s="20">
        <f t="shared" si="16"/>
        <v>0</v>
      </c>
      <c r="I43" s="33">
        <f t="shared" si="14"/>
        <v>0</v>
      </c>
      <c r="J43" s="20">
        <f t="shared" si="17"/>
        <v>0</v>
      </c>
    </row>
    <row r="44" spans="1:10" x14ac:dyDescent="0.25">
      <c r="B44" s="244" t="s">
        <v>14</v>
      </c>
      <c r="C44" s="244"/>
      <c r="D44" s="245"/>
      <c r="E44" s="245"/>
      <c r="F44" s="246"/>
      <c r="G44" s="245"/>
      <c r="H44" s="23"/>
      <c r="I44" s="23"/>
      <c r="J44" s="23"/>
    </row>
    <row r="45" spans="1:10" x14ac:dyDescent="0.25">
      <c r="H45" s="247"/>
      <c r="I45" s="247"/>
      <c r="J45" s="248"/>
    </row>
    <row r="46" spans="1:10" s="233" customFormat="1" ht="13.5" thickBot="1" x14ac:dyDescent="0.25">
      <c r="A46" s="238">
        <v>319</v>
      </c>
      <c r="B46" s="249" t="s">
        <v>31</v>
      </c>
      <c r="C46" s="249"/>
      <c r="D46" s="240">
        <f>SUM(D47:D52)</f>
        <v>0</v>
      </c>
      <c r="E46" s="240"/>
      <c r="F46" s="241"/>
      <c r="G46" s="242">
        <f>SUM(G47:G52)</f>
        <v>0</v>
      </c>
      <c r="H46" s="243">
        <f>SUM(H47:H52)</f>
        <v>0</v>
      </c>
      <c r="I46" s="242">
        <f>SUM(I47:I52)</f>
        <v>0</v>
      </c>
      <c r="J46" s="243">
        <f>SUM(J47:J52)</f>
        <v>0</v>
      </c>
    </row>
    <row r="47" spans="1:10" x14ac:dyDescent="0.25">
      <c r="B47" s="24" t="s">
        <v>32</v>
      </c>
      <c r="C47" s="24"/>
      <c r="D47" s="19">
        <v>0</v>
      </c>
      <c r="E47" s="19"/>
      <c r="F47" s="31"/>
      <c r="G47" s="33">
        <f>IF(D47&gt;0,D47*F47,0)</f>
        <v>0</v>
      </c>
      <c r="H47" s="20">
        <f>IF(F47&gt;0,(G47*C47),0)</f>
        <v>0</v>
      </c>
      <c r="I47" s="33">
        <f t="shared" ref="I47:I51" si="18">ROUND(D47-G47,4)</f>
        <v>0</v>
      </c>
      <c r="J47" s="20">
        <f>IF(F47&gt;0,((D47*C47)-H47),0)</f>
        <v>0</v>
      </c>
    </row>
    <row r="48" spans="1:10" x14ac:dyDescent="0.25">
      <c r="B48" s="24" t="s">
        <v>33</v>
      </c>
      <c r="C48" s="24"/>
      <c r="D48" s="19">
        <v>0</v>
      </c>
      <c r="E48" s="19"/>
      <c r="F48" s="31"/>
      <c r="G48" s="33">
        <f t="shared" ref="G48:G51" si="19">IF(D48&gt;0,D48*F48,0)</f>
        <v>0</v>
      </c>
      <c r="H48" s="20">
        <f t="shared" ref="H48:H51" si="20">IF(F48&gt;0,(G48*C48),0)</f>
        <v>0</v>
      </c>
      <c r="I48" s="33">
        <f t="shared" si="18"/>
        <v>0</v>
      </c>
      <c r="J48" s="20">
        <f t="shared" ref="J48:J51" si="21">IF(F48&gt;0,((D48*C48)-H48),0)</f>
        <v>0</v>
      </c>
    </row>
    <row r="49" spans="1:10" x14ac:dyDescent="0.25">
      <c r="B49" s="24" t="s">
        <v>34</v>
      </c>
      <c r="C49" s="24"/>
      <c r="D49" s="19">
        <v>0</v>
      </c>
      <c r="E49" s="19"/>
      <c r="F49" s="31"/>
      <c r="G49" s="33">
        <f t="shared" si="19"/>
        <v>0</v>
      </c>
      <c r="H49" s="20">
        <f t="shared" si="20"/>
        <v>0</v>
      </c>
      <c r="I49" s="33">
        <f t="shared" si="18"/>
        <v>0</v>
      </c>
      <c r="J49" s="20">
        <f t="shared" si="21"/>
        <v>0</v>
      </c>
    </row>
    <row r="50" spans="1:10" x14ac:dyDescent="0.25">
      <c r="B50" s="24" t="s">
        <v>35</v>
      </c>
      <c r="C50" s="24"/>
      <c r="D50" s="19">
        <v>0</v>
      </c>
      <c r="E50" s="19"/>
      <c r="F50" s="31"/>
      <c r="G50" s="33">
        <f t="shared" si="19"/>
        <v>0</v>
      </c>
      <c r="H50" s="20">
        <f t="shared" si="20"/>
        <v>0</v>
      </c>
      <c r="I50" s="33">
        <f t="shared" si="18"/>
        <v>0</v>
      </c>
      <c r="J50" s="20">
        <f t="shared" si="21"/>
        <v>0</v>
      </c>
    </row>
    <row r="51" spans="1:10" x14ac:dyDescent="0.25">
      <c r="B51" s="24" t="s">
        <v>36</v>
      </c>
      <c r="C51" s="24"/>
      <c r="D51" s="19">
        <v>0</v>
      </c>
      <c r="E51" s="19"/>
      <c r="F51" s="31"/>
      <c r="G51" s="33">
        <f t="shared" si="19"/>
        <v>0</v>
      </c>
      <c r="H51" s="20">
        <f t="shared" si="20"/>
        <v>0</v>
      </c>
      <c r="I51" s="33">
        <f t="shared" si="18"/>
        <v>0</v>
      </c>
      <c r="J51" s="20">
        <f t="shared" si="21"/>
        <v>0</v>
      </c>
    </row>
    <row r="52" spans="1:10" x14ac:dyDescent="0.25">
      <c r="B52" s="244" t="s">
        <v>14</v>
      </c>
      <c r="C52" s="244"/>
      <c r="D52" s="245"/>
      <c r="E52" s="245"/>
      <c r="F52" s="246"/>
      <c r="G52" s="245"/>
      <c r="H52" s="23"/>
      <c r="I52" s="23"/>
      <c r="J52" s="23"/>
    </row>
    <row r="53" spans="1:10" x14ac:dyDescent="0.25">
      <c r="H53" s="247"/>
      <c r="I53" s="247"/>
      <c r="J53" s="248"/>
    </row>
    <row r="54" spans="1:10" s="233" customFormat="1" ht="13.5" thickBot="1" x14ac:dyDescent="0.25">
      <c r="A54" s="238">
        <v>320</v>
      </c>
      <c r="B54" s="239" t="s">
        <v>37</v>
      </c>
      <c r="C54" s="239"/>
      <c r="D54" s="240">
        <f>SUM(D55:D60)</f>
        <v>0</v>
      </c>
      <c r="E54" s="240"/>
      <c r="F54" s="241"/>
      <c r="G54" s="242">
        <f>SUM(G55:G60)</f>
        <v>0</v>
      </c>
      <c r="H54" s="243">
        <f>SUM(H55:H60)</f>
        <v>0</v>
      </c>
      <c r="I54" s="242">
        <f>SUM(I55:I60)</f>
        <v>0</v>
      </c>
      <c r="J54" s="243">
        <f>SUM(J55:J60)</f>
        <v>0</v>
      </c>
    </row>
    <row r="55" spans="1:10" x14ac:dyDescent="0.25">
      <c r="B55" s="24" t="s">
        <v>38</v>
      </c>
      <c r="C55" s="24"/>
      <c r="D55" s="19">
        <v>0</v>
      </c>
      <c r="E55" s="19"/>
      <c r="F55" s="31"/>
      <c r="G55" s="33">
        <f>IF(D55&gt;0,D55*F55,0)</f>
        <v>0</v>
      </c>
      <c r="H55" s="20">
        <f>IF(F55&gt;0,(G55*C55),0)</f>
        <v>0</v>
      </c>
      <c r="I55" s="33">
        <f t="shared" ref="I55:I59" si="22">ROUND(D55-G55,4)</f>
        <v>0</v>
      </c>
      <c r="J55" s="20">
        <f>IF(F55&gt;0,((D55*C55)-H55),0)</f>
        <v>0</v>
      </c>
    </row>
    <row r="56" spans="1:10" x14ac:dyDescent="0.25">
      <c r="B56" s="24" t="s">
        <v>39</v>
      </c>
      <c r="C56" s="24"/>
      <c r="D56" s="19">
        <v>0</v>
      </c>
      <c r="E56" s="19"/>
      <c r="F56" s="31"/>
      <c r="G56" s="33">
        <f t="shared" ref="G56:G59" si="23">IF(D56&gt;0,D56*F56,0)</f>
        <v>0</v>
      </c>
      <c r="H56" s="20">
        <f t="shared" ref="H56:H59" si="24">IF(F56&gt;0,(G56*C56),0)</f>
        <v>0</v>
      </c>
      <c r="I56" s="33">
        <f t="shared" si="22"/>
        <v>0</v>
      </c>
      <c r="J56" s="20">
        <f t="shared" ref="J56:J59" si="25">IF(F56&gt;0,((D56*C56)-H56),0)</f>
        <v>0</v>
      </c>
    </row>
    <row r="57" spans="1:10" x14ac:dyDescent="0.25">
      <c r="B57" s="24" t="s">
        <v>40</v>
      </c>
      <c r="C57" s="24"/>
      <c r="D57" s="19">
        <v>0</v>
      </c>
      <c r="E57" s="19"/>
      <c r="F57" s="31"/>
      <c r="G57" s="33">
        <f t="shared" si="23"/>
        <v>0</v>
      </c>
      <c r="H57" s="20">
        <f t="shared" si="24"/>
        <v>0</v>
      </c>
      <c r="I57" s="33">
        <f t="shared" si="22"/>
        <v>0</v>
      </c>
      <c r="J57" s="20">
        <f t="shared" si="25"/>
        <v>0</v>
      </c>
    </row>
    <row r="58" spans="1:10" x14ac:dyDescent="0.25">
      <c r="B58" s="24" t="s">
        <v>41</v>
      </c>
      <c r="C58" s="24"/>
      <c r="D58" s="19">
        <v>0</v>
      </c>
      <c r="E58" s="19"/>
      <c r="F58" s="31"/>
      <c r="G58" s="33">
        <f t="shared" si="23"/>
        <v>0</v>
      </c>
      <c r="H58" s="20">
        <f t="shared" si="24"/>
        <v>0</v>
      </c>
      <c r="I58" s="33">
        <f t="shared" si="22"/>
        <v>0</v>
      </c>
      <c r="J58" s="20">
        <f t="shared" si="25"/>
        <v>0</v>
      </c>
    </row>
    <row r="59" spans="1:10" x14ac:dyDescent="0.25">
      <c r="B59" s="24" t="s">
        <v>42</v>
      </c>
      <c r="C59" s="24"/>
      <c r="D59" s="19">
        <v>0</v>
      </c>
      <c r="E59" s="19"/>
      <c r="F59" s="31"/>
      <c r="G59" s="33">
        <f t="shared" si="23"/>
        <v>0</v>
      </c>
      <c r="H59" s="20">
        <f t="shared" si="24"/>
        <v>0</v>
      </c>
      <c r="I59" s="33">
        <f t="shared" si="22"/>
        <v>0</v>
      </c>
      <c r="J59" s="20">
        <f t="shared" si="25"/>
        <v>0</v>
      </c>
    </row>
    <row r="60" spans="1:10" x14ac:dyDescent="0.25">
      <c r="B60" s="244" t="s">
        <v>14</v>
      </c>
      <c r="C60" s="244"/>
      <c r="D60" s="245"/>
      <c r="E60" s="245"/>
      <c r="F60" s="246"/>
      <c r="G60" s="245"/>
      <c r="H60" s="23"/>
      <c r="I60" s="23"/>
      <c r="J60" s="23"/>
    </row>
    <row r="61" spans="1:10" x14ac:dyDescent="0.25">
      <c r="H61" s="247"/>
      <c r="I61" s="247"/>
      <c r="J61" s="248"/>
    </row>
    <row r="62" spans="1:10" s="233" customFormat="1" ht="13.5" thickBot="1" x14ac:dyDescent="0.25">
      <c r="A62" s="238">
        <v>321</v>
      </c>
      <c r="B62" s="239" t="s">
        <v>43</v>
      </c>
      <c r="C62" s="239"/>
      <c r="D62" s="240">
        <f>SUM(D63:D68)</f>
        <v>0</v>
      </c>
      <c r="E62" s="240"/>
      <c r="F62" s="241"/>
      <c r="G62" s="242">
        <f>SUM(G63:G68)</f>
        <v>0</v>
      </c>
      <c r="H62" s="243">
        <f>SUM(H63:H68)</f>
        <v>0</v>
      </c>
      <c r="I62" s="242">
        <f>SUM(I63:I68)</f>
        <v>0</v>
      </c>
      <c r="J62" s="243">
        <f>SUM(J63:J68)</f>
        <v>0</v>
      </c>
    </row>
    <row r="63" spans="1:10" x14ac:dyDescent="0.25">
      <c r="B63" s="24" t="s">
        <v>44</v>
      </c>
      <c r="C63" s="24"/>
      <c r="D63" s="19">
        <v>0</v>
      </c>
      <c r="E63" s="19"/>
      <c r="F63" s="31"/>
      <c r="G63" s="33">
        <f>IF(D63&gt;0,D63*F63,0)</f>
        <v>0</v>
      </c>
      <c r="H63" s="20">
        <f>IF(F63&gt;0,(G63*C63),0)</f>
        <v>0</v>
      </c>
      <c r="I63" s="33">
        <f t="shared" ref="I63:I67" si="26">ROUND(D63-G63,4)</f>
        <v>0</v>
      </c>
      <c r="J63" s="20">
        <f>IF(F63&gt;0,((D63*C63)-H63),0)</f>
        <v>0</v>
      </c>
    </row>
    <row r="64" spans="1:10" x14ac:dyDescent="0.25">
      <c r="B64" s="24" t="s">
        <v>45</v>
      </c>
      <c r="C64" s="24"/>
      <c r="D64" s="19">
        <v>0</v>
      </c>
      <c r="E64" s="19"/>
      <c r="F64" s="31"/>
      <c r="G64" s="33">
        <f t="shared" ref="G64:G67" si="27">IF(D64&gt;0,D64*F64,0)</f>
        <v>0</v>
      </c>
      <c r="H64" s="20">
        <f t="shared" ref="H64:H67" si="28">IF(F64&gt;0,(G64*C64),0)</f>
        <v>0</v>
      </c>
      <c r="I64" s="33">
        <f t="shared" si="26"/>
        <v>0</v>
      </c>
      <c r="J64" s="20">
        <f t="shared" ref="J64:J67" si="29">IF(F64&gt;0,((D64*C64)-H64),0)</f>
        <v>0</v>
      </c>
    </row>
    <row r="65" spans="1:10" x14ac:dyDescent="0.25">
      <c r="B65" s="24" t="s">
        <v>46</v>
      </c>
      <c r="C65" s="24"/>
      <c r="D65" s="19">
        <v>0</v>
      </c>
      <c r="E65" s="19"/>
      <c r="F65" s="31"/>
      <c r="G65" s="33">
        <f t="shared" si="27"/>
        <v>0</v>
      </c>
      <c r="H65" s="20">
        <f t="shared" si="28"/>
        <v>0</v>
      </c>
      <c r="I65" s="33">
        <f t="shared" si="26"/>
        <v>0</v>
      </c>
      <c r="J65" s="20">
        <f t="shared" si="29"/>
        <v>0</v>
      </c>
    </row>
    <row r="66" spans="1:10" x14ac:dyDescent="0.25">
      <c r="B66" s="24" t="s">
        <v>47</v>
      </c>
      <c r="C66" s="24"/>
      <c r="D66" s="19">
        <v>0</v>
      </c>
      <c r="E66" s="19"/>
      <c r="F66" s="31"/>
      <c r="G66" s="33">
        <f t="shared" si="27"/>
        <v>0</v>
      </c>
      <c r="H66" s="20">
        <f t="shared" si="28"/>
        <v>0</v>
      </c>
      <c r="I66" s="33">
        <f t="shared" si="26"/>
        <v>0</v>
      </c>
      <c r="J66" s="20">
        <f t="shared" si="29"/>
        <v>0</v>
      </c>
    </row>
    <row r="67" spans="1:10" x14ac:dyDescent="0.25">
      <c r="B67" s="24" t="s">
        <v>48</v>
      </c>
      <c r="C67" s="24"/>
      <c r="D67" s="19">
        <v>0</v>
      </c>
      <c r="E67" s="19"/>
      <c r="F67" s="31"/>
      <c r="G67" s="33">
        <f t="shared" si="27"/>
        <v>0</v>
      </c>
      <c r="H67" s="20">
        <f t="shared" si="28"/>
        <v>0</v>
      </c>
      <c r="I67" s="33">
        <f t="shared" si="26"/>
        <v>0</v>
      </c>
      <c r="J67" s="20">
        <f t="shared" si="29"/>
        <v>0</v>
      </c>
    </row>
    <row r="68" spans="1:10" x14ac:dyDescent="0.25">
      <c r="B68" s="244" t="s">
        <v>14</v>
      </c>
      <c r="C68" s="244"/>
      <c r="D68" s="245"/>
      <c r="E68" s="245"/>
      <c r="F68" s="246"/>
      <c r="G68" s="245"/>
      <c r="H68" s="23"/>
      <c r="I68" s="23"/>
      <c r="J68" s="23"/>
    </row>
    <row r="69" spans="1:10" x14ac:dyDescent="0.25">
      <c r="H69" s="247"/>
      <c r="I69" s="247"/>
      <c r="J69" s="248"/>
    </row>
    <row r="70" spans="1:10" s="233" customFormat="1" ht="13.5" thickBot="1" x14ac:dyDescent="0.25">
      <c r="A70" s="238">
        <v>322</v>
      </c>
      <c r="B70" s="249" t="s">
        <v>49</v>
      </c>
      <c r="C70" s="249"/>
      <c r="D70" s="240">
        <f>SUM(D71:D76)</f>
        <v>0</v>
      </c>
      <c r="E70" s="240"/>
      <c r="F70" s="241"/>
      <c r="G70" s="242">
        <f>SUM(G71:G76)</f>
        <v>0</v>
      </c>
      <c r="H70" s="243">
        <f>SUM(H71:H76)</f>
        <v>0</v>
      </c>
      <c r="I70" s="242">
        <f>SUM(I71:I76)</f>
        <v>0</v>
      </c>
      <c r="J70" s="243">
        <f>SUM(J71:J76)</f>
        <v>0</v>
      </c>
    </row>
    <row r="71" spans="1:10" x14ac:dyDescent="0.25">
      <c r="B71" s="24" t="s">
        <v>50</v>
      </c>
      <c r="C71" s="24"/>
      <c r="D71" s="19">
        <v>0</v>
      </c>
      <c r="E71" s="19"/>
      <c r="F71" s="31"/>
      <c r="G71" s="33">
        <f>IF(D71&gt;0,D71*F71,0)</f>
        <v>0</v>
      </c>
      <c r="H71" s="20">
        <f>IF(F71&gt;0,(G71*C71),0)</f>
        <v>0</v>
      </c>
      <c r="I71" s="33">
        <f t="shared" ref="I71:I75" si="30">ROUND(D71-G71,4)</f>
        <v>0</v>
      </c>
      <c r="J71" s="20">
        <f>IF(F71&gt;0,((D71*C71)-H71),0)</f>
        <v>0</v>
      </c>
    </row>
    <row r="72" spans="1:10" x14ac:dyDescent="0.25">
      <c r="B72" s="24" t="s">
        <v>51</v>
      </c>
      <c r="C72" s="24"/>
      <c r="D72" s="19">
        <v>0</v>
      </c>
      <c r="E72" s="19"/>
      <c r="F72" s="31"/>
      <c r="G72" s="33">
        <f t="shared" ref="G72:G75" si="31">IF(D72&gt;0,D72*F72,0)</f>
        <v>0</v>
      </c>
      <c r="H72" s="20">
        <f t="shared" ref="H72:H75" si="32">IF(F72&gt;0,(G72*C72),0)</f>
        <v>0</v>
      </c>
      <c r="I72" s="33">
        <f t="shared" si="30"/>
        <v>0</v>
      </c>
      <c r="J72" s="20">
        <f t="shared" ref="J72:J75" si="33">IF(F72&gt;0,((D72*C72)-H72),0)</f>
        <v>0</v>
      </c>
    </row>
    <row r="73" spans="1:10" x14ac:dyDescent="0.25">
      <c r="B73" s="24" t="s">
        <v>52</v>
      </c>
      <c r="C73" s="24"/>
      <c r="D73" s="19">
        <v>0</v>
      </c>
      <c r="E73" s="19"/>
      <c r="F73" s="31"/>
      <c r="G73" s="33">
        <f t="shared" si="31"/>
        <v>0</v>
      </c>
      <c r="H73" s="20">
        <f t="shared" si="32"/>
        <v>0</v>
      </c>
      <c r="I73" s="33">
        <f t="shared" si="30"/>
        <v>0</v>
      </c>
      <c r="J73" s="20">
        <f t="shared" si="33"/>
        <v>0</v>
      </c>
    </row>
    <row r="74" spans="1:10" x14ac:dyDescent="0.25">
      <c r="B74" s="24" t="s">
        <v>53</v>
      </c>
      <c r="C74" s="24"/>
      <c r="D74" s="19">
        <v>0</v>
      </c>
      <c r="E74" s="19"/>
      <c r="F74" s="31"/>
      <c r="G74" s="33">
        <f t="shared" si="31"/>
        <v>0</v>
      </c>
      <c r="H74" s="20">
        <f t="shared" si="32"/>
        <v>0</v>
      </c>
      <c r="I74" s="33">
        <f t="shared" si="30"/>
        <v>0</v>
      </c>
      <c r="J74" s="20">
        <f t="shared" si="33"/>
        <v>0</v>
      </c>
    </row>
    <row r="75" spans="1:10" x14ac:dyDescent="0.25">
      <c r="B75" s="24" t="s">
        <v>54</v>
      </c>
      <c r="C75" s="24"/>
      <c r="D75" s="19">
        <v>0</v>
      </c>
      <c r="E75" s="19"/>
      <c r="F75" s="31"/>
      <c r="G75" s="33">
        <f t="shared" si="31"/>
        <v>0</v>
      </c>
      <c r="H75" s="20">
        <f t="shared" si="32"/>
        <v>0</v>
      </c>
      <c r="I75" s="33">
        <f t="shared" si="30"/>
        <v>0</v>
      </c>
      <c r="J75" s="20">
        <f t="shared" si="33"/>
        <v>0</v>
      </c>
    </row>
    <row r="76" spans="1:10" x14ac:dyDescent="0.25">
      <c r="B76" s="244" t="s">
        <v>14</v>
      </c>
      <c r="C76" s="244"/>
      <c r="D76" s="245"/>
      <c r="E76" s="245"/>
      <c r="F76" s="246"/>
      <c r="G76" s="245"/>
      <c r="H76" s="23"/>
      <c r="I76" s="23"/>
      <c r="J76" s="23"/>
    </row>
    <row r="77" spans="1:10" x14ac:dyDescent="0.25">
      <c r="H77" s="247"/>
      <c r="I77" s="247"/>
      <c r="J77" s="248"/>
    </row>
    <row r="78" spans="1:10" s="233" customFormat="1" ht="13.5" thickBot="1" x14ac:dyDescent="0.25">
      <c r="A78" s="238">
        <v>323</v>
      </c>
      <c r="B78" s="249" t="s">
        <v>55</v>
      </c>
      <c r="C78" s="249"/>
      <c r="D78" s="240">
        <f>SUM(D79:D84)</f>
        <v>0</v>
      </c>
      <c r="E78" s="240"/>
      <c r="F78" s="241"/>
      <c r="G78" s="242">
        <f>SUM(G79:G84)</f>
        <v>0</v>
      </c>
      <c r="H78" s="243">
        <f>SUM(H79:H84)</f>
        <v>0</v>
      </c>
      <c r="I78" s="242">
        <f>SUM(I79:I84)</f>
        <v>0</v>
      </c>
      <c r="J78" s="243">
        <f>SUM(J79:J84)</f>
        <v>0</v>
      </c>
    </row>
    <row r="79" spans="1:10" x14ac:dyDescent="0.25">
      <c r="B79" s="24" t="s">
        <v>56</v>
      </c>
      <c r="C79" s="24"/>
      <c r="D79" s="19">
        <v>0</v>
      </c>
      <c r="E79" s="19"/>
      <c r="F79" s="31"/>
      <c r="G79" s="33">
        <f>IF(D79&gt;0,D79*F79,0)</f>
        <v>0</v>
      </c>
      <c r="H79" s="20">
        <f>IF(F79&gt;0,(G79*C79),0)</f>
        <v>0</v>
      </c>
      <c r="I79" s="33">
        <f t="shared" ref="I79:I83" si="34">ROUND(D79-G79,4)</f>
        <v>0</v>
      </c>
      <c r="J79" s="20">
        <f>IF(F79&gt;0,((D79*C79)-H79),0)</f>
        <v>0</v>
      </c>
    </row>
    <row r="80" spans="1:10" x14ac:dyDescent="0.25">
      <c r="B80" s="24" t="s">
        <v>57</v>
      </c>
      <c r="C80" s="24"/>
      <c r="D80" s="19">
        <v>0</v>
      </c>
      <c r="E80" s="19"/>
      <c r="F80" s="31"/>
      <c r="G80" s="33">
        <f t="shared" ref="G80:G83" si="35">IF(D80&gt;0,D80*F80,0)</f>
        <v>0</v>
      </c>
      <c r="H80" s="20">
        <f t="shared" ref="H80:H83" si="36">IF(F80&gt;0,(G80*C80),0)</f>
        <v>0</v>
      </c>
      <c r="I80" s="33">
        <f t="shared" si="34"/>
        <v>0</v>
      </c>
      <c r="J80" s="20">
        <f t="shared" ref="J80:J83" si="37">IF(F80&gt;0,((D80*C80)-H80),0)</f>
        <v>0</v>
      </c>
    </row>
    <row r="81" spans="1:10" x14ac:dyDescent="0.25">
      <c r="B81" s="24" t="s">
        <v>58</v>
      </c>
      <c r="C81" s="24"/>
      <c r="D81" s="19">
        <v>0</v>
      </c>
      <c r="E81" s="19"/>
      <c r="F81" s="31"/>
      <c r="G81" s="33">
        <f t="shared" si="35"/>
        <v>0</v>
      </c>
      <c r="H81" s="20">
        <f t="shared" si="36"/>
        <v>0</v>
      </c>
      <c r="I81" s="33">
        <f t="shared" si="34"/>
        <v>0</v>
      </c>
      <c r="J81" s="20">
        <f t="shared" si="37"/>
        <v>0</v>
      </c>
    </row>
    <row r="82" spans="1:10" x14ac:dyDescent="0.25">
      <c r="B82" s="24" t="s">
        <v>59</v>
      </c>
      <c r="C82" s="24"/>
      <c r="D82" s="19">
        <v>0</v>
      </c>
      <c r="E82" s="19"/>
      <c r="F82" s="31"/>
      <c r="G82" s="33">
        <f t="shared" si="35"/>
        <v>0</v>
      </c>
      <c r="H82" s="20">
        <f t="shared" si="36"/>
        <v>0</v>
      </c>
      <c r="I82" s="33">
        <f t="shared" si="34"/>
        <v>0</v>
      </c>
      <c r="J82" s="20">
        <f t="shared" si="37"/>
        <v>0</v>
      </c>
    </row>
    <row r="83" spans="1:10" x14ac:dyDescent="0.25">
      <c r="B83" s="24" t="s">
        <v>60</v>
      </c>
      <c r="C83" s="24"/>
      <c r="D83" s="19">
        <v>0</v>
      </c>
      <c r="E83" s="19"/>
      <c r="F83" s="31"/>
      <c r="G83" s="33">
        <f t="shared" si="35"/>
        <v>0</v>
      </c>
      <c r="H83" s="20">
        <f t="shared" si="36"/>
        <v>0</v>
      </c>
      <c r="I83" s="33">
        <f t="shared" si="34"/>
        <v>0</v>
      </c>
      <c r="J83" s="20">
        <f t="shared" si="37"/>
        <v>0</v>
      </c>
    </row>
    <row r="84" spans="1:10" x14ac:dyDescent="0.25">
      <c r="B84" s="244" t="s">
        <v>14</v>
      </c>
      <c r="C84" s="244"/>
      <c r="D84" s="245"/>
      <c r="E84" s="245"/>
      <c r="F84" s="246"/>
      <c r="G84" s="245"/>
      <c r="H84" s="23"/>
      <c r="I84" s="23"/>
      <c r="J84" s="23"/>
    </row>
    <row r="85" spans="1:10" x14ac:dyDescent="0.25">
      <c r="H85" s="247"/>
      <c r="I85" s="247"/>
      <c r="J85" s="248"/>
    </row>
    <row r="86" spans="1:10" s="233" customFormat="1" ht="13.5" thickBot="1" x14ac:dyDescent="0.25">
      <c r="A86" s="250">
        <v>324</v>
      </c>
      <c r="B86" s="239" t="s">
        <v>61</v>
      </c>
      <c r="C86" s="239"/>
      <c r="D86" s="240">
        <f>SUM(D87:D92)</f>
        <v>3</v>
      </c>
      <c r="E86" s="240"/>
      <c r="F86" s="241"/>
      <c r="G86" s="242">
        <f>SUM(G87:G92)</f>
        <v>2.8</v>
      </c>
      <c r="H86" s="243">
        <f>SUM(H87:H92)</f>
        <v>114150.39999999999</v>
      </c>
      <c r="I86" s="242">
        <f>SUM(I87:I92)</f>
        <v>0.2</v>
      </c>
      <c r="J86" s="243">
        <f>SUM(J87:J92)</f>
        <v>8153.5999999999985</v>
      </c>
    </row>
    <row r="87" spans="1:10" x14ac:dyDescent="0.25">
      <c r="B87" s="18" t="s">
        <v>61</v>
      </c>
      <c r="C87" s="30">
        <v>40768</v>
      </c>
      <c r="D87" s="19">
        <v>1</v>
      </c>
      <c r="E87" s="31" t="s">
        <v>171</v>
      </c>
      <c r="F87" s="32">
        <v>1</v>
      </c>
      <c r="G87" s="33">
        <f>IF(D87&gt;0,D87*F87,0)</f>
        <v>1</v>
      </c>
      <c r="H87" s="20">
        <f>IF(F87&gt;0,(G87*C87),0)</f>
        <v>40768</v>
      </c>
      <c r="I87" s="33">
        <f t="shared" ref="I87:I91" si="38">ROUND(D87-G87,4)</f>
        <v>0</v>
      </c>
      <c r="J87" s="20">
        <f>IF(F87&gt;0,((D87*C87)-H87),0)</f>
        <v>0</v>
      </c>
    </row>
    <row r="88" spans="1:10" x14ac:dyDescent="0.25">
      <c r="B88" s="18" t="s">
        <v>61</v>
      </c>
      <c r="C88" s="30">
        <v>40768</v>
      </c>
      <c r="D88" s="19">
        <v>1</v>
      </c>
      <c r="E88" s="31" t="s">
        <v>171</v>
      </c>
      <c r="F88" s="32">
        <v>1</v>
      </c>
      <c r="G88" s="33">
        <f t="shared" ref="G88:G91" si="39">IF(D88&gt;0,D88*F88,0)</f>
        <v>1</v>
      </c>
      <c r="H88" s="20">
        <f t="shared" ref="H88:H91" si="40">IF(F88&gt;0,(G88*C88),0)</f>
        <v>40768</v>
      </c>
      <c r="I88" s="33">
        <f t="shared" si="38"/>
        <v>0</v>
      </c>
      <c r="J88" s="20">
        <f t="shared" ref="J88:J91" si="41">IF(F88&gt;0,((D88*C88)-H88),0)</f>
        <v>0</v>
      </c>
    </row>
    <row r="89" spans="1:10" x14ac:dyDescent="0.25">
      <c r="B89" s="18" t="s">
        <v>61</v>
      </c>
      <c r="C89" s="30">
        <v>40768</v>
      </c>
      <c r="D89" s="19">
        <v>1</v>
      </c>
      <c r="E89" s="31" t="s">
        <v>185</v>
      </c>
      <c r="F89" s="32">
        <v>0.8</v>
      </c>
      <c r="G89" s="33">
        <f t="shared" si="39"/>
        <v>0.8</v>
      </c>
      <c r="H89" s="20">
        <f t="shared" si="40"/>
        <v>32614.400000000001</v>
      </c>
      <c r="I89" s="33">
        <f t="shared" si="38"/>
        <v>0.2</v>
      </c>
      <c r="J89" s="20">
        <f t="shared" si="41"/>
        <v>8153.5999999999985</v>
      </c>
    </row>
    <row r="90" spans="1:10" x14ac:dyDescent="0.25">
      <c r="B90" s="18" t="s">
        <v>62</v>
      </c>
      <c r="C90" s="30"/>
      <c r="D90" s="19"/>
      <c r="E90" s="31"/>
      <c r="F90" s="32"/>
      <c r="G90" s="33">
        <f t="shared" si="39"/>
        <v>0</v>
      </c>
      <c r="H90" s="20">
        <f t="shared" si="40"/>
        <v>0</v>
      </c>
      <c r="I90" s="33">
        <f t="shared" si="38"/>
        <v>0</v>
      </c>
      <c r="J90" s="20">
        <f t="shared" si="41"/>
        <v>0</v>
      </c>
    </row>
    <row r="91" spans="1:10" x14ac:dyDescent="0.25">
      <c r="B91" s="18" t="s">
        <v>63</v>
      </c>
      <c r="C91" s="30"/>
      <c r="D91" s="19">
        <v>0</v>
      </c>
      <c r="E91" s="31"/>
      <c r="F91" s="32"/>
      <c r="G91" s="33">
        <f t="shared" si="39"/>
        <v>0</v>
      </c>
      <c r="H91" s="20">
        <f t="shared" si="40"/>
        <v>0</v>
      </c>
      <c r="I91" s="33">
        <f t="shared" si="38"/>
        <v>0</v>
      </c>
      <c r="J91" s="20">
        <f t="shared" si="41"/>
        <v>0</v>
      </c>
    </row>
    <row r="92" spans="1:10" x14ac:dyDescent="0.25">
      <c r="B92" s="244" t="s">
        <v>14</v>
      </c>
      <c r="C92" s="244"/>
      <c r="D92" s="245"/>
      <c r="E92" s="245"/>
      <c r="F92" s="246"/>
      <c r="G92" s="245"/>
      <c r="H92" s="23"/>
      <c r="I92" s="23"/>
      <c r="J92" s="23"/>
    </row>
    <row r="93" spans="1:10" x14ac:dyDescent="0.25">
      <c r="A93" s="251"/>
      <c r="H93" s="247"/>
      <c r="I93" s="247"/>
      <c r="J93" s="248"/>
    </row>
    <row r="94" spans="1:10" s="233" customFormat="1" ht="13.5" thickBot="1" x14ac:dyDescent="0.25">
      <c r="A94" s="238">
        <v>325</v>
      </c>
      <c r="B94" s="249" t="s">
        <v>64</v>
      </c>
      <c r="C94" s="249"/>
      <c r="D94" s="240">
        <f>SUM(D95:D100)</f>
        <v>0</v>
      </c>
      <c r="E94" s="240"/>
      <c r="F94" s="241"/>
      <c r="G94" s="242">
        <f>SUM(G95:G100)</f>
        <v>0</v>
      </c>
      <c r="H94" s="243">
        <f>SUM(H95:H100)</f>
        <v>0</v>
      </c>
      <c r="I94" s="242">
        <f>SUM(I95:I100)</f>
        <v>0</v>
      </c>
      <c r="J94" s="243">
        <f>SUM(J95:J100)</f>
        <v>0</v>
      </c>
    </row>
    <row r="95" spans="1:10" x14ac:dyDescent="0.25">
      <c r="B95" s="18" t="s">
        <v>65</v>
      </c>
      <c r="C95" s="30"/>
      <c r="D95" s="19"/>
      <c r="E95" s="31"/>
      <c r="F95" s="32"/>
      <c r="G95" s="33">
        <f>IF(D95&gt;0,D95*F95,0)</f>
        <v>0</v>
      </c>
      <c r="H95" s="20">
        <f>IF(F95&gt;0,(G95*C95),0)</f>
        <v>0</v>
      </c>
      <c r="I95" s="33">
        <f t="shared" ref="I95:I99" si="42">ROUND(D95-G95,4)</f>
        <v>0</v>
      </c>
      <c r="J95" s="20">
        <f>IF(F95&gt;0,((D95*C95)-H95),0)</f>
        <v>0</v>
      </c>
    </row>
    <row r="96" spans="1:10" x14ac:dyDescent="0.25">
      <c r="B96" s="18" t="s">
        <v>66</v>
      </c>
      <c r="C96" s="30"/>
      <c r="D96" s="19">
        <v>0</v>
      </c>
      <c r="E96" s="31"/>
      <c r="F96" s="32"/>
      <c r="G96" s="33">
        <f t="shared" ref="G96:G99" si="43">IF(D96&gt;0,D96*F96,0)</f>
        <v>0</v>
      </c>
      <c r="H96" s="20">
        <f t="shared" ref="H96:H99" si="44">IF(F96&gt;0,(G96*C96),0)</f>
        <v>0</v>
      </c>
      <c r="I96" s="33">
        <f t="shared" si="42"/>
        <v>0</v>
      </c>
      <c r="J96" s="20">
        <f t="shared" ref="J96:J99" si="45">IF(F96&gt;0,((D96*C96)-H96),0)</f>
        <v>0</v>
      </c>
    </row>
    <row r="97" spans="1:10" x14ac:dyDescent="0.25">
      <c r="B97" s="18" t="s">
        <v>67</v>
      </c>
      <c r="C97" s="30"/>
      <c r="D97" s="19">
        <v>0</v>
      </c>
      <c r="E97" s="19"/>
      <c r="F97" s="32"/>
      <c r="G97" s="33">
        <f t="shared" si="43"/>
        <v>0</v>
      </c>
      <c r="H97" s="20">
        <f t="shared" si="44"/>
        <v>0</v>
      </c>
      <c r="I97" s="33">
        <f t="shared" si="42"/>
        <v>0</v>
      </c>
      <c r="J97" s="20">
        <f t="shared" si="45"/>
        <v>0</v>
      </c>
    </row>
    <row r="98" spans="1:10" x14ac:dyDescent="0.25">
      <c r="B98" s="18" t="s">
        <v>68</v>
      </c>
      <c r="C98" s="30"/>
      <c r="D98" s="19">
        <v>0</v>
      </c>
      <c r="E98" s="19"/>
      <c r="F98" s="32"/>
      <c r="G98" s="33">
        <f t="shared" si="43"/>
        <v>0</v>
      </c>
      <c r="H98" s="20">
        <f t="shared" si="44"/>
        <v>0</v>
      </c>
      <c r="I98" s="33">
        <f t="shared" si="42"/>
        <v>0</v>
      </c>
      <c r="J98" s="20">
        <f t="shared" si="45"/>
        <v>0</v>
      </c>
    </row>
    <row r="99" spans="1:10" x14ac:dyDescent="0.25">
      <c r="B99" s="18" t="s">
        <v>69</v>
      </c>
      <c r="C99" s="30"/>
      <c r="D99" s="19">
        <v>0</v>
      </c>
      <c r="E99" s="19"/>
      <c r="F99" s="32"/>
      <c r="G99" s="33">
        <f t="shared" si="43"/>
        <v>0</v>
      </c>
      <c r="H99" s="20">
        <f t="shared" si="44"/>
        <v>0</v>
      </c>
      <c r="I99" s="33">
        <f t="shared" si="42"/>
        <v>0</v>
      </c>
      <c r="J99" s="20">
        <f t="shared" si="45"/>
        <v>0</v>
      </c>
    </row>
    <row r="100" spans="1:10" x14ac:dyDescent="0.25">
      <c r="B100" s="244" t="s">
        <v>14</v>
      </c>
      <c r="C100" s="244"/>
      <c r="D100" s="245"/>
      <c r="E100" s="245"/>
      <c r="F100" s="246"/>
      <c r="G100" s="245"/>
      <c r="H100" s="23"/>
      <c r="I100" s="23"/>
      <c r="J100" s="23"/>
    </row>
    <row r="101" spans="1:10" x14ac:dyDescent="0.25">
      <c r="H101" s="247"/>
      <c r="I101" s="247"/>
      <c r="J101" s="248"/>
    </row>
    <row r="102" spans="1:10" s="233" customFormat="1" ht="13.5" thickBot="1" x14ac:dyDescent="0.25">
      <c r="A102" s="238" t="s">
        <v>70</v>
      </c>
      <c r="B102" s="239" t="s">
        <v>71</v>
      </c>
      <c r="C102" s="239"/>
      <c r="D102" s="240">
        <f>SUM(D103:D108)</f>
        <v>0</v>
      </c>
      <c r="E102" s="240"/>
      <c r="F102" s="241"/>
      <c r="G102" s="242">
        <f>SUM(G103:G108)</f>
        <v>0</v>
      </c>
      <c r="H102" s="243">
        <f>SUM(H103:H108)</f>
        <v>0</v>
      </c>
      <c r="I102" s="242">
        <f>SUM(I103:I108)</f>
        <v>0</v>
      </c>
      <c r="J102" s="243">
        <f>SUM(J103:J108)</f>
        <v>0</v>
      </c>
    </row>
    <row r="103" spans="1:10" x14ac:dyDescent="0.25">
      <c r="B103" s="18" t="s">
        <v>72</v>
      </c>
      <c r="C103" s="30"/>
      <c r="D103" s="19"/>
      <c r="E103" s="31"/>
      <c r="F103" s="32"/>
      <c r="G103" s="33">
        <f>IF(D103&gt;0,D103*F103,0)</f>
        <v>0</v>
      </c>
      <c r="H103" s="20">
        <f>IF(F103&gt;0,(G103*C103),0)</f>
        <v>0</v>
      </c>
      <c r="I103" s="33">
        <f t="shared" ref="I103:I107" si="46">ROUND(D103-G103,4)</f>
        <v>0</v>
      </c>
      <c r="J103" s="20">
        <f>IF(F103&gt;0,((D103*C103)-H103),0)</f>
        <v>0</v>
      </c>
    </row>
    <row r="104" spans="1:10" x14ac:dyDescent="0.25">
      <c r="B104" s="18" t="s">
        <v>73</v>
      </c>
      <c r="C104" s="30"/>
      <c r="D104" s="19">
        <v>0</v>
      </c>
      <c r="E104" s="31"/>
      <c r="F104" s="32"/>
      <c r="G104" s="33">
        <f t="shared" ref="G104:G107" si="47">IF(D104&gt;0,D104*F104,0)</f>
        <v>0</v>
      </c>
      <c r="H104" s="20">
        <f t="shared" ref="H104:H107" si="48">IF(F104&gt;0,(G104*C104),0)</f>
        <v>0</v>
      </c>
      <c r="I104" s="33">
        <f t="shared" si="46"/>
        <v>0</v>
      </c>
      <c r="J104" s="20">
        <f t="shared" ref="J104:J107" si="49">IF(F104&gt;0,((D104*C104)-H104),0)</f>
        <v>0</v>
      </c>
    </row>
    <row r="105" spans="1:10" x14ac:dyDescent="0.25">
      <c r="B105" s="18" t="s">
        <v>74</v>
      </c>
      <c r="C105" s="30"/>
      <c r="D105" s="19">
        <v>0</v>
      </c>
      <c r="E105" s="19"/>
      <c r="F105" s="32"/>
      <c r="G105" s="33">
        <f t="shared" si="47"/>
        <v>0</v>
      </c>
      <c r="H105" s="20">
        <f t="shared" si="48"/>
        <v>0</v>
      </c>
      <c r="I105" s="33">
        <f t="shared" si="46"/>
        <v>0</v>
      </c>
      <c r="J105" s="20">
        <f t="shared" si="49"/>
        <v>0</v>
      </c>
    </row>
    <row r="106" spans="1:10" x14ac:dyDescent="0.25">
      <c r="A106" s="217" t="s">
        <v>3</v>
      </c>
      <c r="B106" s="18" t="s">
        <v>75</v>
      </c>
      <c r="C106" s="30"/>
      <c r="D106" s="19">
        <v>0</v>
      </c>
      <c r="E106" s="19"/>
      <c r="F106" s="32"/>
      <c r="G106" s="33">
        <f t="shared" si="47"/>
        <v>0</v>
      </c>
      <c r="H106" s="20">
        <f t="shared" si="48"/>
        <v>0</v>
      </c>
      <c r="I106" s="33">
        <f t="shared" si="46"/>
        <v>0</v>
      </c>
      <c r="J106" s="20">
        <f t="shared" si="49"/>
        <v>0</v>
      </c>
    </row>
    <row r="107" spans="1:10" x14ac:dyDescent="0.25">
      <c r="B107" s="18" t="s">
        <v>76</v>
      </c>
      <c r="C107" s="30"/>
      <c r="D107" s="19">
        <v>0</v>
      </c>
      <c r="E107" s="19"/>
      <c r="F107" s="32"/>
      <c r="G107" s="33">
        <f t="shared" si="47"/>
        <v>0</v>
      </c>
      <c r="H107" s="20">
        <f t="shared" si="48"/>
        <v>0</v>
      </c>
      <c r="I107" s="33">
        <f t="shared" si="46"/>
        <v>0</v>
      </c>
      <c r="J107" s="20">
        <f t="shared" si="49"/>
        <v>0</v>
      </c>
    </row>
    <row r="108" spans="1:10" x14ac:dyDescent="0.25">
      <c r="B108" s="244" t="s">
        <v>14</v>
      </c>
      <c r="C108" s="244"/>
      <c r="D108" s="245"/>
      <c r="E108" s="245"/>
      <c r="F108" s="246"/>
      <c r="G108" s="245"/>
      <c r="H108" s="23"/>
      <c r="I108" s="23"/>
      <c r="J108" s="23"/>
    </row>
    <row r="109" spans="1:10" x14ac:dyDescent="0.25">
      <c r="H109" s="247"/>
      <c r="I109" s="247"/>
      <c r="J109" s="248"/>
    </row>
    <row r="110" spans="1:10" s="233" customFormat="1" ht="13.5" thickBot="1" x14ac:dyDescent="0.25">
      <c r="A110" s="238" t="s">
        <v>70</v>
      </c>
      <c r="B110" s="239" t="s">
        <v>77</v>
      </c>
      <c r="C110" s="239"/>
      <c r="D110" s="240">
        <f>SUM(D111:D116)</f>
        <v>1</v>
      </c>
      <c r="E110" s="240"/>
      <c r="F110" s="241"/>
      <c r="G110" s="242">
        <f>SUM(G111:G116)</f>
        <v>1</v>
      </c>
      <c r="H110" s="243">
        <f>SUM(H111:H116)</f>
        <v>44765</v>
      </c>
      <c r="I110" s="242">
        <f>SUM(I111:I116)</f>
        <v>0</v>
      </c>
      <c r="J110" s="243">
        <f>SUM(J111:J116)</f>
        <v>0</v>
      </c>
    </row>
    <row r="111" spans="1:10" x14ac:dyDescent="0.25">
      <c r="B111" s="18" t="s">
        <v>186</v>
      </c>
      <c r="C111" s="30">
        <v>44765</v>
      </c>
      <c r="D111" s="19">
        <v>1</v>
      </c>
      <c r="E111" s="31" t="s">
        <v>171</v>
      </c>
      <c r="F111" s="32">
        <v>1</v>
      </c>
      <c r="G111" s="33">
        <f>IF(D111&gt;0,D111*F111,0)</f>
        <v>1</v>
      </c>
      <c r="H111" s="20">
        <f>IF(F111&gt;0,(G111*C111),0)</f>
        <v>44765</v>
      </c>
      <c r="I111" s="33">
        <f t="shared" ref="I111:I115" si="50">ROUND(D111-G111,4)</f>
        <v>0</v>
      </c>
      <c r="J111" s="20">
        <f>IF(F111&gt;0,((D111*C111)-H111),0)</f>
        <v>0</v>
      </c>
    </row>
    <row r="112" spans="1:10" x14ac:dyDescent="0.25">
      <c r="B112" s="18" t="s">
        <v>78</v>
      </c>
      <c r="C112" s="30"/>
      <c r="D112" s="19">
        <v>0</v>
      </c>
      <c r="E112" s="31"/>
      <c r="F112" s="32"/>
      <c r="G112" s="33">
        <f t="shared" ref="G112:G115" si="51">IF(D112&gt;0,D112*F112,0)</f>
        <v>0</v>
      </c>
      <c r="H112" s="20">
        <f t="shared" ref="H112:H115" si="52">IF(F112&gt;0,(G112*C112),0)</f>
        <v>0</v>
      </c>
      <c r="I112" s="33">
        <f t="shared" si="50"/>
        <v>0</v>
      </c>
      <c r="J112" s="20">
        <f t="shared" ref="J112:J115" si="53">IF(F112&gt;0,((D112*C112)-H112),0)</f>
        <v>0</v>
      </c>
    </row>
    <row r="113" spans="1:10" x14ac:dyDescent="0.25">
      <c r="B113" s="18" t="s">
        <v>79</v>
      </c>
      <c r="C113" s="30"/>
      <c r="D113" s="19">
        <v>0</v>
      </c>
      <c r="E113" s="19"/>
      <c r="F113" s="32"/>
      <c r="G113" s="33">
        <f t="shared" si="51"/>
        <v>0</v>
      </c>
      <c r="H113" s="20">
        <f t="shared" si="52"/>
        <v>0</v>
      </c>
      <c r="I113" s="33">
        <f t="shared" si="50"/>
        <v>0</v>
      </c>
      <c r="J113" s="20">
        <f t="shared" si="53"/>
        <v>0</v>
      </c>
    </row>
    <row r="114" spans="1:10" x14ac:dyDescent="0.25">
      <c r="A114" s="217" t="s">
        <v>3</v>
      </c>
      <c r="B114" s="18" t="s">
        <v>80</v>
      </c>
      <c r="C114" s="30"/>
      <c r="D114" s="19">
        <v>0</v>
      </c>
      <c r="E114" s="19"/>
      <c r="F114" s="32"/>
      <c r="G114" s="33">
        <f t="shared" si="51"/>
        <v>0</v>
      </c>
      <c r="H114" s="20">
        <f t="shared" si="52"/>
        <v>0</v>
      </c>
      <c r="I114" s="33">
        <f t="shared" si="50"/>
        <v>0</v>
      </c>
      <c r="J114" s="20">
        <f t="shared" si="53"/>
        <v>0</v>
      </c>
    </row>
    <row r="115" spans="1:10" x14ac:dyDescent="0.25">
      <c r="B115" s="18" t="s">
        <v>81</v>
      </c>
      <c r="C115" s="30"/>
      <c r="D115" s="19">
        <v>0</v>
      </c>
      <c r="E115" s="19"/>
      <c r="F115" s="32"/>
      <c r="G115" s="33">
        <f t="shared" si="51"/>
        <v>0</v>
      </c>
      <c r="H115" s="20">
        <f t="shared" si="52"/>
        <v>0</v>
      </c>
      <c r="I115" s="33">
        <f t="shared" si="50"/>
        <v>0</v>
      </c>
      <c r="J115" s="20">
        <f t="shared" si="53"/>
        <v>0</v>
      </c>
    </row>
    <row r="116" spans="1:10" x14ac:dyDescent="0.25">
      <c r="B116" s="244" t="s">
        <v>14</v>
      </c>
      <c r="C116" s="244"/>
      <c r="D116" s="245"/>
      <c r="E116" s="245"/>
      <c r="F116" s="246"/>
      <c r="G116" s="245"/>
      <c r="H116" s="23"/>
      <c r="I116" s="23"/>
      <c r="J116" s="23"/>
    </row>
    <row r="117" spans="1:10" x14ac:dyDescent="0.25">
      <c r="H117" s="247"/>
      <c r="I117" s="247"/>
      <c r="J117" s="248"/>
    </row>
    <row r="118" spans="1:10" s="233" customFormat="1" ht="13.5" thickBot="1" x14ac:dyDescent="0.25">
      <c r="A118" s="238" t="s">
        <v>70</v>
      </c>
      <c r="B118" s="239" t="s">
        <v>82</v>
      </c>
      <c r="C118" s="239"/>
      <c r="D118" s="240">
        <f>SUM(D119:D124)</f>
        <v>0</v>
      </c>
      <c r="E118" s="240"/>
      <c r="F118" s="241"/>
      <c r="G118" s="242">
        <f>SUM(G119:G124)</f>
        <v>0</v>
      </c>
      <c r="H118" s="243">
        <f>SUM(H119:H124)</f>
        <v>0</v>
      </c>
      <c r="I118" s="242">
        <f>SUM(I119:I124)</f>
        <v>0</v>
      </c>
      <c r="J118" s="243">
        <f>SUM(J119:J124)</f>
        <v>0</v>
      </c>
    </row>
    <row r="119" spans="1:10" x14ac:dyDescent="0.25">
      <c r="A119" s="251"/>
      <c r="B119" s="18" t="s">
        <v>83</v>
      </c>
      <c r="C119" s="18"/>
      <c r="D119" s="19">
        <v>0</v>
      </c>
      <c r="E119" s="19"/>
      <c r="F119" s="31"/>
      <c r="G119" s="33">
        <f>IF(D119&gt;0,D119*F119,0)</f>
        <v>0</v>
      </c>
      <c r="H119" s="20">
        <f>IF(F119&gt;0,(G119*C119),0)</f>
        <v>0</v>
      </c>
      <c r="I119" s="33">
        <f t="shared" ref="I119:I123" si="54">ROUND(D119-G119,4)</f>
        <v>0</v>
      </c>
      <c r="J119" s="20">
        <f>IF(F119&gt;0,((D119*C119)-H119),0)</f>
        <v>0</v>
      </c>
    </row>
    <row r="120" spans="1:10" x14ac:dyDescent="0.25">
      <c r="A120" s="251"/>
      <c r="B120" s="18" t="s">
        <v>84</v>
      </c>
      <c r="C120" s="18"/>
      <c r="D120" s="19">
        <v>0</v>
      </c>
      <c r="E120" s="19"/>
      <c r="F120" s="31"/>
      <c r="G120" s="33">
        <f t="shared" ref="G120:G123" si="55">IF(D120&gt;0,D120*F120,0)</f>
        <v>0</v>
      </c>
      <c r="H120" s="20">
        <f t="shared" ref="H120:H123" si="56">IF(F120&gt;0,(G120*C120),0)</f>
        <v>0</v>
      </c>
      <c r="I120" s="33">
        <f t="shared" si="54"/>
        <v>0</v>
      </c>
      <c r="J120" s="20">
        <f t="shared" ref="J120:J123" si="57">IF(F120&gt;0,((D120*C120)-H120),0)</f>
        <v>0</v>
      </c>
    </row>
    <row r="121" spans="1:10" x14ac:dyDescent="0.25">
      <c r="A121" s="251"/>
      <c r="B121" s="18" t="s">
        <v>85</v>
      </c>
      <c r="C121" s="18"/>
      <c r="D121" s="19">
        <v>0</v>
      </c>
      <c r="E121" s="19"/>
      <c r="F121" s="31"/>
      <c r="G121" s="33">
        <f t="shared" si="55"/>
        <v>0</v>
      </c>
      <c r="H121" s="20">
        <f t="shared" si="56"/>
        <v>0</v>
      </c>
      <c r="I121" s="33">
        <f t="shared" si="54"/>
        <v>0</v>
      </c>
      <c r="J121" s="20">
        <f t="shared" si="57"/>
        <v>0</v>
      </c>
    </row>
    <row r="122" spans="1:10" x14ac:dyDescent="0.25">
      <c r="A122" s="252" t="s">
        <v>3</v>
      </c>
      <c r="B122" s="18" t="s">
        <v>86</v>
      </c>
      <c r="C122" s="18"/>
      <c r="D122" s="19">
        <v>0</v>
      </c>
      <c r="E122" s="19"/>
      <c r="F122" s="31"/>
      <c r="G122" s="33">
        <f t="shared" si="55"/>
        <v>0</v>
      </c>
      <c r="H122" s="20">
        <f t="shared" si="56"/>
        <v>0</v>
      </c>
      <c r="I122" s="33">
        <f t="shared" si="54"/>
        <v>0</v>
      </c>
      <c r="J122" s="20">
        <f t="shared" si="57"/>
        <v>0</v>
      </c>
    </row>
    <row r="123" spans="1:10" x14ac:dyDescent="0.25">
      <c r="A123" s="252"/>
      <c r="B123" s="18" t="s">
        <v>87</v>
      </c>
      <c r="C123" s="18"/>
      <c r="D123" s="19">
        <v>0</v>
      </c>
      <c r="E123" s="19"/>
      <c r="F123" s="31"/>
      <c r="G123" s="33">
        <f t="shared" si="55"/>
        <v>0</v>
      </c>
      <c r="H123" s="20">
        <f t="shared" si="56"/>
        <v>0</v>
      </c>
      <c r="I123" s="33">
        <f t="shared" si="54"/>
        <v>0</v>
      </c>
      <c r="J123" s="20">
        <f t="shared" si="57"/>
        <v>0</v>
      </c>
    </row>
    <row r="124" spans="1:10" x14ac:dyDescent="0.25">
      <c r="B124" s="244" t="s">
        <v>14</v>
      </c>
      <c r="C124" s="244"/>
      <c r="D124" s="245"/>
      <c r="E124" s="245"/>
      <c r="F124" s="246"/>
      <c r="G124" s="245"/>
      <c r="H124" s="23"/>
      <c r="I124" s="23"/>
      <c r="J124" s="23"/>
    </row>
    <row r="125" spans="1:10" x14ac:dyDescent="0.25">
      <c r="H125" s="247"/>
      <c r="I125" s="247"/>
      <c r="J125" s="248"/>
    </row>
    <row r="126" spans="1:10" s="233" customFormat="1" ht="13.5" thickBot="1" x14ac:dyDescent="0.25">
      <c r="A126" s="238" t="s">
        <v>70</v>
      </c>
      <c r="B126" s="239" t="s">
        <v>88</v>
      </c>
      <c r="C126" s="239"/>
      <c r="D126" s="240">
        <f>SUM(D127:D132)</f>
        <v>0</v>
      </c>
      <c r="E126" s="240"/>
      <c r="F126" s="241"/>
      <c r="G126" s="242">
        <f>SUM(G127:G132)</f>
        <v>0</v>
      </c>
      <c r="H126" s="243">
        <f>SUM(H127:H132)</f>
        <v>0</v>
      </c>
      <c r="I126" s="242">
        <f>SUM(I127:I132)</f>
        <v>0</v>
      </c>
      <c r="J126" s="243">
        <f>SUM(J127:J132)</f>
        <v>0</v>
      </c>
    </row>
    <row r="127" spans="1:10" x14ac:dyDescent="0.25">
      <c r="A127" s="251"/>
      <c r="B127" s="18" t="s">
        <v>89</v>
      </c>
      <c r="C127" s="18"/>
      <c r="D127" s="19">
        <v>0</v>
      </c>
      <c r="E127" s="19"/>
      <c r="F127" s="31"/>
      <c r="G127" s="33">
        <f>IF(D127&gt;0,D127*F127,0)</f>
        <v>0</v>
      </c>
      <c r="H127" s="20">
        <f>IF(F127&gt;0,(G127*C127),0)</f>
        <v>0</v>
      </c>
      <c r="I127" s="33">
        <f t="shared" ref="I127:I131" si="58">ROUND(D127-G127,4)</f>
        <v>0</v>
      </c>
      <c r="J127" s="20">
        <f>IF(F127&gt;0,((D127*C127)-H127),0)</f>
        <v>0</v>
      </c>
    </row>
    <row r="128" spans="1:10" x14ac:dyDescent="0.25">
      <c r="A128" s="251"/>
      <c r="B128" s="18" t="s">
        <v>90</v>
      </c>
      <c r="C128" s="18"/>
      <c r="D128" s="19">
        <v>0</v>
      </c>
      <c r="E128" s="19"/>
      <c r="F128" s="31"/>
      <c r="G128" s="33">
        <f t="shared" ref="G128:G131" si="59">IF(D128&gt;0,D128*F128,0)</f>
        <v>0</v>
      </c>
      <c r="H128" s="20">
        <f t="shared" ref="H128:H131" si="60">IF(F128&gt;0,(G128*C128),0)</f>
        <v>0</v>
      </c>
      <c r="I128" s="33">
        <f t="shared" si="58"/>
        <v>0</v>
      </c>
      <c r="J128" s="20">
        <f t="shared" ref="J128:J131" si="61">IF(F128&gt;0,((D128*C128)-H128),0)</f>
        <v>0</v>
      </c>
    </row>
    <row r="129" spans="1:10" x14ac:dyDescent="0.25">
      <c r="A129" s="251"/>
      <c r="B129" s="18" t="s">
        <v>91</v>
      </c>
      <c r="C129" s="18"/>
      <c r="D129" s="19">
        <v>0</v>
      </c>
      <c r="E129" s="19"/>
      <c r="F129" s="31"/>
      <c r="G129" s="33">
        <f t="shared" si="59"/>
        <v>0</v>
      </c>
      <c r="H129" s="20">
        <f t="shared" si="60"/>
        <v>0</v>
      </c>
      <c r="I129" s="33">
        <f t="shared" si="58"/>
        <v>0</v>
      </c>
      <c r="J129" s="20">
        <f t="shared" si="61"/>
        <v>0</v>
      </c>
    </row>
    <row r="130" spans="1:10" x14ac:dyDescent="0.25">
      <c r="A130" s="252" t="s">
        <v>3</v>
      </c>
      <c r="B130" s="18" t="s">
        <v>92</v>
      </c>
      <c r="C130" s="18"/>
      <c r="D130" s="19">
        <v>0</v>
      </c>
      <c r="E130" s="19"/>
      <c r="F130" s="31"/>
      <c r="G130" s="33">
        <f t="shared" si="59"/>
        <v>0</v>
      </c>
      <c r="H130" s="20">
        <f t="shared" si="60"/>
        <v>0</v>
      </c>
      <c r="I130" s="33">
        <f t="shared" si="58"/>
        <v>0</v>
      </c>
      <c r="J130" s="20">
        <f t="shared" si="61"/>
        <v>0</v>
      </c>
    </row>
    <row r="131" spans="1:10" x14ac:dyDescent="0.25">
      <c r="A131" s="252"/>
      <c r="B131" s="18" t="s">
        <v>93</v>
      </c>
      <c r="C131" s="18"/>
      <c r="D131" s="19">
        <v>0</v>
      </c>
      <c r="E131" s="19"/>
      <c r="F131" s="31"/>
      <c r="G131" s="33">
        <f t="shared" si="59"/>
        <v>0</v>
      </c>
      <c r="H131" s="20">
        <f t="shared" si="60"/>
        <v>0</v>
      </c>
      <c r="I131" s="33">
        <f t="shared" si="58"/>
        <v>0</v>
      </c>
      <c r="J131" s="20">
        <f t="shared" si="61"/>
        <v>0</v>
      </c>
    </row>
    <row r="132" spans="1:10" x14ac:dyDescent="0.25">
      <c r="B132" s="244" t="s">
        <v>14</v>
      </c>
      <c r="C132" s="244"/>
      <c r="D132" s="245"/>
      <c r="E132" s="245"/>
      <c r="F132" s="246"/>
      <c r="G132" s="245"/>
      <c r="H132" s="23"/>
      <c r="I132" s="23"/>
      <c r="J132" s="23"/>
    </row>
    <row r="133" spans="1:10" x14ac:dyDescent="0.25">
      <c r="H133" s="247"/>
      <c r="I133" s="247"/>
      <c r="J133" s="248"/>
    </row>
    <row r="134" spans="1:10" x14ac:dyDescent="0.25">
      <c r="J134" s="248"/>
    </row>
    <row r="143" spans="1:10" x14ac:dyDescent="0.25">
      <c r="J143" s="248"/>
    </row>
    <row r="144" spans="1:10" x14ac:dyDescent="0.25">
      <c r="J144" s="248"/>
    </row>
    <row r="145" spans="1:10" x14ac:dyDescent="0.25">
      <c r="J145" s="248"/>
    </row>
    <row r="146" spans="1:10" x14ac:dyDescent="0.25">
      <c r="J146" s="248"/>
    </row>
    <row r="147" spans="1:10" x14ac:dyDescent="0.25">
      <c r="J147" s="248"/>
    </row>
    <row r="148" spans="1:10" x14ac:dyDescent="0.25">
      <c r="J148" s="248"/>
    </row>
    <row r="149" spans="1:10" x14ac:dyDescent="0.25">
      <c r="J149" s="248"/>
    </row>
    <row r="150" spans="1:10" x14ac:dyDescent="0.25">
      <c r="H150" s="247"/>
      <c r="I150" s="247"/>
      <c r="J150" s="248"/>
    </row>
    <row r="151" spans="1:10" x14ac:dyDescent="0.25">
      <c r="A151" s="206"/>
      <c r="D151" s="206"/>
      <c r="E151" s="206"/>
      <c r="F151" s="217"/>
      <c r="G151" s="206"/>
      <c r="H151" s="206"/>
      <c r="I151" s="206"/>
    </row>
    <row r="152" spans="1:10" x14ac:dyDescent="0.25">
      <c r="A152" s="206"/>
      <c r="D152" s="206"/>
      <c r="E152" s="206"/>
      <c r="F152" s="217"/>
      <c r="G152" s="206"/>
      <c r="H152" s="206"/>
      <c r="I152" s="206"/>
    </row>
    <row r="153" spans="1:10" x14ac:dyDescent="0.25">
      <c r="A153" s="206"/>
      <c r="D153" s="206"/>
      <c r="E153" s="206"/>
      <c r="F153" s="217"/>
      <c r="G153" s="206"/>
      <c r="H153" s="206"/>
      <c r="I153" s="206"/>
    </row>
    <row r="154" spans="1:10" x14ac:dyDescent="0.25">
      <c r="A154" s="206"/>
      <c r="D154" s="206"/>
      <c r="E154" s="206"/>
      <c r="F154" s="217"/>
      <c r="G154" s="206"/>
      <c r="H154" s="206"/>
      <c r="I154" s="206"/>
    </row>
    <row r="155" spans="1:10" x14ac:dyDescent="0.25">
      <c r="A155" s="206"/>
      <c r="D155" s="206"/>
      <c r="E155" s="206"/>
      <c r="F155" s="217"/>
      <c r="G155" s="206"/>
      <c r="H155" s="206"/>
      <c r="I155" s="206"/>
    </row>
    <row r="156" spans="1:10" x14ac:dyDescent="0.25">
      <c r="A156" s="206"/>
      <c r="D156" s="206"/>
      <c r="E156" s="206"/>
      <c r="F156" s="217"/>
      <c r="G156" s="206"/>
      <c r="H156" s="206"/>
      <c r="I156" s="206"/>
    </row>
    <row r="157" spans="1:10" x14ac:dyDescent="0.25">
      <c r="A157" s="206"/>
      <c r="D157" s="206"/>
      <c r="E157" s="206"/>
      <c r="F157" s="217"/>
      <c r="G157" s="206"/>
      <c r="H157" s="206"/>
      <c r="I157" s="206"/>
    </row>
    <row r="158" spans="1:10" x14ac:dyDescent="0.25">
      <c r="A158" s="206"/>
      <c r="D158" s="206"/>
      <c r="E158" s="206"/>
      <c r="F158" s="217"/>
      <c r="G158" s="206"/>
      <c r="H158" s="206"/>
      <c r="I158" s="206"/>
    </row>
    <row r="159" spans="1:10" x14ac:dyDescent="0.25">
      <c r="A159" s="206"/>
      <c r="D159" s="206"/>
      <c r="E159" s="206"/>
      <c r="F159" s="217"/>
      <c r="G159" s="206"/>
      <c r="H159" s="206"/>
      <c r="I159" s="206"/>
    </row>
    <row r="160" spans="1:10" x14ac:dyDescent="0.25">
      <c r="A160" s="206"/>
      <c r="D160" s="206"/>
      <c r="E160" s="206"/>
      <c r="F160" s="217"/>
      <c r="G160" s="206"/>
      <c r="H160" s="206"/>
      <c r="I160" s="206"/>
    </row>
    <row r="161" spans="1:9" x14ac:dyDescent="0.25">
      <c r="A161" s="206"/>
      <c r="D161" s="206"/>
      <c r="E161" s="206"/>
      <c r="F161" s="217"/>
      <c r="G161" s="206"/>
      <c r="H161" s="206"/>
      <c r="I161" s="206"/>
    </row>
    <row r="162" spans="1:9" x14ac:dyDescent="0.25">
      <c r="A162" s="206"/>
      <c r="D162" s="206"/>
      <c r="E162" s="206"/>
      <c r="F162" s="217"/>
      <c r="G162" s="206"/>
      <c r="H162" s="206"/>
      <c r="I162" s="206"/>
    </row>
    <row r="163" spans="1:9" x14ac:dyDescent="0.25">
      <c r="A163" s="206"/>
      <c r="D163" s="206"/>
      <c r="E163" s="206"/>
      <c r="F163" s="217"/>
      <c r="G163" s="206"/>
      <c r="H163" s="206"/>
      <c r="I163" s="206"/>
    </row>
    <row r="164" spans="1:9" x14ac:dyDescent="0.25">
      <c r="A164" s="206"/>
      <c r="D164" s="206"/>
      <c r="E164" s="206"/>
      <c r="F164" s="217"/>
      <c r="G164" s="206"/>
      <c r="H164" s="206"/>
      <c r="I164" s="206"/>
    </row>
    <row r="165" spans="1:9" x14ac:dyDescent="0.25">
      <c r="A165" s="206"/>
      <c r="D165" s="206"/>
      <c r="E165" s="206"/>
      <c r="F165" s="217"/>
      <c r="G165" s="206"/>
      <c r="H165" s="206"/>
      <c r="I165" s="206"/>
    </row>
    <row r="166" spans="1:9" x14ac:dyDescent="0.25">
      <c r="A166" s="206"/>
      <c r="D166" s="206"/>
      <c r="E166" s="206"/>
      <c r="F166" s="217"/>
      <c r="G166" s="206"/>
      <c r="H166" s="206"/>
      <c r="I166" s="206"/>
    </row>
    <row r="167" spans="1:9" x14ac:dyDescent="0.25">
      <c r="A167" s="206"/>
      <c r="D167" s="206"/>
      <c r="E167" s="206"/>
      <c r="F167" s="217"/>
      <c r="G167" s="206"/>
      <c r="H167" s="206"/>
      <c r="I167" s="206"/>
    </row>
    <row r="168" spans="1:9" x14ac:dyDescent="0.25">
      <c r="A168" s="206"/>
      <c r="D168" s="206"/>
      <c r="E168" s="206"/>
      <c r="F168" s="217"/>
      <c r="G168" s="206"/>
      <c r="H168" s="206"/>
      <c r="I168" s="206"/>
    </row>
  </sheetData>
  <sheetProtection password="CEBE" sheet="1" objects="1" scenarios="1" insertRows="0"/>
  <mergeCells count="1">
    <mergeCell ref="B7:E7"/>
  </mergeCells>
  <phoneticPr fontId="24" type="noConversion"/>
  <pageMargins left="0.25" right="0" top="0.5" bottom="0.5" header="0.25" footer="0.25"/>
  <pageSetup scale="84" orientation="portrait" horizontalDpi="4294967293"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30"/>
  <sheetViews>
    <sheetView zoomScaleNormal="100" workbookViewId="0">
      <pane ySplit="11" topLeftCell="A12" activePane="bottomLeft" state="frozen"/>
      <selection pane="bottomLeft" activeCell="E25" sqref="E25"/>
    </sheetView>
  </sheetViews>
  <sheetFormatPr defaultRowHeight="15" x14ac:dyDescent="0.25"/>
  <cols>
    <col min="2" max="2" width="30.7109375" customWidth="1"/>
    <col min="3" max="3" width="12.140625" customWidth="1"/>
    <col min="4" max="4" width="11.5703125" customWidth="1"/>
    <col min="5" max="5" width="12.5703125" customWidth="1"/>
    <col min="6" max="6" width="12" customWidth="1"/>
    <col min="7" max="7" width="12.5703125" style="65" customWidth="1"/>
    <col min="8" max="8" width="11.7109375" customWidth="1"/>
    <col min="9" max="9" width="12.42578125" customWidth="1"/>
    <col min="10" max="10" width="11.7109375" customWidth="1"/>
    <col min="11" max="11" width="12.42578125" customWidth="1"/>
    <col min="12" max="12" width="11.42578125" style="115" customWidth="1"/>
  </cols>
  <sheetData>
    <row r="1" spans="1:13" ht="17.45" x14ac:dyDescent="0.3">
      <c r="A1" s="2" t="s">
        <v>163</v>
      </c>
      <c r="B1" s="1"/>
      <c r="C1" s="1"/>
      <c r="D1" s="4"/>
      <c r="E1" s="4"/>
      <c r="F1" s="42"/>
      <c r="G1" s="58"/>
      <c r="H1" s="5" t="s">
        <v>0</v>
      </c>
      <c r="I1" s="5"/>
      <c r="J1" s="5"/>
      <c r="K1" s="3"/>
    </row>
    <row r="2" spans="1:13" ht="17.45" x14ac:dyDescent="0.3">
      <c r="A2" s="7" t="s">
        <v>226</v>
      </c>
      <c r="B2" s="1"/>
      <c r="C2" s="1"/>
      <c r="D2" s="8"/>
      <c r="E2" s="8"/>
      <c r="F2" s="42"/>
      <c r="G2" s="58"/>
      <c r="H2" s="40"/>
      <c r="I2" s="9" t="s">
        <v>2</v>
      </c>
      <c r="J2" s="9"/>
      <c r="K2" s="10"/>
    </row>
    <row r="3" spans="1:13" ht="14.45" x14ac:dyDescent="0.3">
      <c r="A3" s="6"/>
      <c r="B3" s="1"/>
      <c r="C3" s="1"/>
      <c r="D3" s="8"/>
      <c r="E3" s="8"/>
      <c r="F3" s="42"/>
      <c r="G3" s="58"/>
      <c r="H3" s="41"/>
      <c r="I3" s="9" t="s">
        <v>4</v>
      </c>
      <c r="J3" s="9"/>
      <c r="K3" s="10"/>
    </row>
    <row r="4" spans="1:13" ht="14.45" x14ac:dyDescent="0.3">
      <c r="A4" s="6"/>
      <c r="B4" s="36"/>
      <c r="C4" s="8"/>
      <c r="D4" s="8"/>
      <c r="E4" s="8"/>
      <c r="F4" s="42"/>
      <c r="G4" s="58"/>
      <c r="K4" s="10"/>
    </row>
    <row r="5" spans="1:13" ht="14.45" x14ac:dyDescent="0.3">
      <c r="A5" s="6"/>
      <c r="B5" s="522" t="s">
        <v>189</v>
      </c>
      <c r="C5" s="523"/>
      <c r="D5" s="523"/>
      <c r="E5" s="524"/>
      <c r="F5" s="524"/>
      <c r="G5" s="58"/>
      <c r="H5" s="521" t="s">
        <v>193</v>
      </c>
      <c r="I5" s="521"/>
      <c r="J5" s="10"/>
      <c r="K5" s="10"/>
    </row>
    <row r="6" spans="1:13" ht="14.45" x14ac:dyDescent="0.3">
      <c r="A6" s="6"/>
      <c r="B6" s="106"/>
      <c r="C6" s="107" t="s">
        <v>100</v>
      </c>
      <c r="D6" s="119" t="s">
        <v>201</v>
      </c>
      <c r="E6" s="119" t="s">
        <v>199</v>
      </c>
      <c r="F6" s="120" t="s">
        <v>202</v>
      </c>
      <c r="G6" s="58"/>
      <c r="H6" s="108" t="s">
        <v>191</v>
      </c>
      <c r="I6" s="68">
        <v>25</v>
      </c>
      <c r="J6" s="10"/>
      <c r="K6" s="8"/>
    </row>
    <row r="7" spans="1:13" ht="14.45" x14ac:dyDescent="0.3">
      <c r="A7" s="6"/>
      <c r="B7" s="49" t="s">
        <v>187</v>
      </c>
      <c r="C7" s="50">
        <f>H12+H20+H28+H36+H44+H52+H60+H68+H76+H84+H92+H100+H108+H116+H124</f>
        <v>3.35</v>
      </c>
      <c r="D7" s="51">
        <f>I12+I20+I28+I36+I44+I52+I60+I68+I76+I84+I92+I100+I108+I116+I124</f>
        <v>490360</v>
      </c>
      <c r="E7" s="66">
        <f>L12+L20+L28+L36+L44+L52+L60+L68+L76+L84+L92+L100+L108+L116+L124</f>
        <v>6281.6</v>
      </c>
      <c r="F7" s="67">
        <f>D7/E7</f>
        <v>78.062913907284766</v>
      </c>
      <c r="G7" s="59"/>
      <c r="H7" s="108" t="s">
        <v>100</v>
      </c>
      <c r="I7" s="69">
        <f>ROUND((I6*52)/('Employee Direct Care'!C5*52),4)</f>
        <v>0.625</v>
      </c>
      <c r="J7" s="10"/>
      <c r="K7" s="1"/>
    </row>
    <row r="8" spans="1:13" thickBot="1" x14ac:dyDescent="0.35">
      <c r="A8" s="46"/>
      <c r="B8" s="109" t="s">
        <v>188</v>
      </c>
      <c r="C8" s="110">
        <f>(D12+D20+D28+D36+D44+D52+D60+D68+D76+D84+D92+D100+D108+D116+D124)-C7</f>
        <v>0.14999999999999991</v>
      </c>
      <c r="D8" s="111">
        <f>K12+K20+K28+K36+K44+K52+K60+K68+K76+K84+K92+K100+K108+K116+K124</f>
        <v>45240</v>
      </c>
      <c r="F8" s="6"/>
      <c r="G8" s="59"/>
      <c r="H8" s="1"/>
      <c r="I8" s="1"/>
      <c r="J8" s="10"/>
      <c r="K8" s="1"/>
    </row>
    <row r="9" spans="1:13" ht="14.45" x14ac:dyDescent="0.3">
      <c r="A9" s="46" t="s">
        <v>3</v>
      </c>
      <c r="B9" s="114" t="s">
        <v>224</v>
      </c>
      <c r="C9" s="112">
        <f>SUM(C7:C8)</f>
        <v>3.5</v>
      </c>
      <c r="D9" s="113">
        <f t="shared" ref="D9" si="0">SUM(D7:D8)</f>
        <v>535600</v>
      </c>
      <c r="E9" s="46"/>
      <c r="F9" s="46"/>
      <c r="G9" s="60"/>
      <c r="H9" s="46"/>
      <c r="I9" s="46"/>
      <c r="J9" s="46"/>
      <c r="K9" s="46"/>
    </row>
    <row r="10" spans="1:13" ht="14.45" x14ac:dyDescent="0.3">
      <c r="A10" s="46"/>
      <c r="B10" s="47"/>
      <c r="C10" s="47"/>
      <c r="D10" s="47"/>
      <c r="E10" s="47"/>
      <c r="F10" s="46"/>
      <c r="G10" s="60"/>
      <c r="H10" s="47"/>
      <c r="I10" s="47"/>
      <c r="J10" s="47"/>
      <c r="K10" s="47"/>
    </row>
    <row r="11" spans="1:13" ht="37.15" thickBot="1" x14ac:dyDescent="0.35">
      <c r="A11" s="11" t="s">
        <v>5</v>
      </c>
      <c r="B11" s="11" t="s">
        <v>6</v>
      </c>
      <c r="C11" s="511" t="s">
        <v>190</v>
      </c>
      <c r="D11" s="12" t="s">
        <v>7</v>
      </c>
      <c r="E11" s="52" t="s">
        <v>192</v>
      </c>
      <c r="F11" s="12" t="s">
        <v>98</v>
      </c>
      <c r="G11" s="61" t="s">
        <v>197</v>
      </c>
      <c r="H11" s="12" t="s">
        <v>97</v>
      </c>
      <c r="I11" s="12" t="s">
        <v>107</v>
      </c>
      <c r="J11" s="52" t="s">
        <v>225</v>
      </c>
      <c r="K11" s="12" t="s">
        <v>108</v>
      </c>
      <c r="L11" s="116" t="s">
        <v>198</v>
      </c>
    </row>
    <row r="12" spans="1:13" thickBot="1" x14ac:dyDescent="0.35">
      <c r="A12" s="14">
        <v>315</v>
      </c>
      <c r="B12" s="15" t="s">
        <v>8</v>
      </c>
      <c r="C12" s="15"/>
      <c r="D12" s="55">
        <f>SUM(D13:D18)</f>
        <v>0</v>
      </c>
      <c r="E12" s="17"/>
      <c r="F12" s="43"/>
      <c r="G12" s="62"/>
      <c r="H12" s="34">
        <f>SUM(H13:H18)</f>
        <v>0</v>
      </c>
      <c r="I12" s="48">
        <f>SUM(I13:I18)</f>
        <v>0</v>
      </c>
      <c r="J12" s="34">
        <f>SUM(J13:J18)</f>
        <v>0</v>
      </c>
      <c r="K12" s="13">
        <f>SUM(K13:K18)</f>
        <v>0</v>
      </c>
      <c r="L12" s="117">
        <f>SUM(L13:L18)</f>
        <v>0</v>
      </c>
    </row>
    <row r="13" spans="1:13" ht="14.45" x14ac:dyDescent="0.3">
      <c r="A13" s="6"/>
      <c r="B13" s="18" t="s">
        <v>9</v>
      </c>
      <c r="C13" s="30"/>
      <c r="D13" s="54"/>
      <c r="E13" s="53"/>
      <c r="F13" s="32"/>
      <c r="G13" s="63"/>
      <c r="H13" s="33">
        <f>IF(D13&gt;0,D13*F13,0)</f>
        <v>0</v>
      </c>
      <c r="I13" s="20">
        <f>IF(F13&gt;0,(((('Employee Direct Care'!C$5*52)*D13)*C13)*F13),0)</f>
        <v>0</v>
      </c>
      <c r="J13" s="33">
        <f>D13-H13</f>
        <v>0</v>
      </c>
      <c r="K13" s="20">
        <f>IF(F13&gt;0,(((('Employee Direct Care'!C$5*52)*D13)*C13)-I13),(((('Employee Direct Care'!C$5*52)*D13)*C13)-I13))</f>
        <v>0</v>
      </c>
      <c r="L13" s="20">
        <f>ROUND((H13*('Employee Direct Care'!C$5*52)*G13),1)</f>
        <v>0</v>
      </c>
    </row>
    <row r="14" spans="1:13" ht="14.45" x14ac:dyDescent="0.3">
      <c r="A14" s="6"/>
      <c r="B14" s="18" t="s">
        <v>10</v>
      </c>
      <c r="C14" s="30"/>
      <c r="D14" s="54">
        <v>0</v>
      </c>
      <c r="E14" s="31"/>
      <c r="F14" s="32"/>
      <c r="G14" s="63"/>
      <c r="H14" s="33">
        <f t="shared" ref="H14:H17" si="1">IF(D14&gt;0,D14*F14,0)</f>
        <v>0</v>
      </c>
      <c r="I14" s="20">
        <f>IF(F14&gt;0,(((('Employee Direct Care'!C$5*52)*D14)*C14)*F14),0)</f>
        <v>0</v>
      </c>
      <c r="J14" s="33">
        <f t="shared" ref="J14:J17" si="2">D14-H14</f>
        <v>0</v>
      </c>
      <c r="K14" s="20">
        <f>IF(F14&gt;0,(((('Employee Direct Care'!C$5*52)*D14)*C14)-I14),(((('Employee Direct Care'!C$5*52)*D14)*C14)-I14))</f>
        <v>0</v>
      </c>
      <c r="L14" s="20">
        <f>ROUND((H14*('Employee Direct Care'!C$5*52)*G14),1)</f>
        <v>0</v>
      </c>
    </row>
    <row r="15" spans="1:13" ht="14.45" x14ac:dyDescent="0.3">
      <c r="A15" s="6"/>
      <c r="B15" s="18" t="s">
        <v>11</v>
      </c>
      <c r="C15" s="30"/>
      <c r="D15" s="54">
        <v>0</v>
      </c>
      <c r="E15" s="31"/>
      <c r="F15" s="32"/>
      <c r="G15" s="63"/>
      <c r="H15" s="33">
        <f t="shared" si="1"/>
        <v>0</v>
      </c>
      <c r="I15" s="20">
        <f>IF(F15&gt;0,(((('Employee Direct Care'!C$5*52)*D15)*C15)*F15),0)</f>
        <v>0</v>
      </c>
      <c r="J15" s="33">
        <f t="shared" si="2"/>
        <v>0</v>
      </c>
      <c r="K15" s="20">
        <f>IF(F15&gt;0,(((('Employee Direct Care'!C$5*52)*D15)*C15)-I15),(((('Employee Direct Care'!C$5*52)*D15)*C15)-I15))</f>
        <v>0</v>
      </c>
      <c r="L15" s="20">
        <f>ROUND((H15*('Employee Direct Care'!C$5*52)*G15),1)</f>
        <v>0</v>
      </c>
    </row>
    <row r="16" spans="1:13" ht="14.45" x14ac:dyDescent="0.3">
      <c r="A16" s="6"/>
      <c r="B16" s="18" t="s">
        <v>12</v>
      </c>
      <c r="C16" s="30"/>
      <c r="D16" s="54">
        <v>0</v>
      </c>
      <c r="E16" s="31"/>
      <c r="F16" s="32"/>
      <c r="G16" s="63"/>
      <c r="H16" s="33">
        <f t="shared" si="1"/>
        <v>0</v>
      </c>
      <c r="I16" s="20">
        <f>IF(F16&gt;0,(((('Employee Direct Care'!C$5*52)*D16)*C16)*F16),0)</f>
        <v>0</v>
      </c>
      <c r="J16" s="33">
        <f t="shared" si="2"/>
        <v>0</v>
      </c>
      <c r="K16" s="20">
        <f>IF(F16&gt;0,(((('Employee Direct Care'!C$5*52)*D16)*C16)-I16),(((('Employee Direct Care'!C$5*52)*D16)*C16)-I16))</f>
        <v>0</v>
      </c>
      <c r="L16" s="20">
        <f>ROUND((H16*('Employee Direct Care'!C$5*52)*G16),1)</f>
        <v>0</v>
      </c>
      <c r="M16" s="45"/>
    </row>
    <row r="17" spans="1:13" ht="14.45" x14ac:dyDescent="0.3">
      <c r="A17" s="6"/>
      <c r="B17" s="18" t="s">
        <v>13</v>
      </c>
      <c r="C17" s="30"/>
      <c r="D17" s="54">
        <v>0</v>
      </c>
      <c r="E17" s="31"/>
      <c r="F17" s="32"/>
      <c r="G17" s="63"/>
      <c r="H17" s="33">
        <f t="shared" si="1"/>
        <v>0</v>
      </c>
      <c r="I17" s="20">
        <f>IF(F17&gt;0,(((('Employee Direct Care'!C$5*52)*D17)*C17)*F17),0)</f>
        <v>0</v>
      </c>
      <c r="J17" s="33">
        <f t="shared" si="2"/>
        <v>0</v>
      </c>
      <c r="K17" s="20">
        <f>IF(F17&gt;0,(((('Employee Direct Care'!C$5*52)*D17)*C17)-I17),(((('Employee Direct Care'!C$5*52)*D17)*C17)-I17))</f>
        <v>0</v>
      </c>
      <c r="L17" s="20">
        <f>ROUND((H17*('Employee Direct Care'!C$5*52)*G17),1)</f>
        <v>0</v>
      </c>
      <c r="M17" s="45"/>
    </row>
    <row r="18" spans="1:13" ht="14.45" x14ac:dyDescent="0.3">
      <c r="A18" s="6"/>
      <c r="B18" s="21" t="s">
        <v>14</v>
      </c>
      <c r="C18" s="21"/>
      <c r="D18" s="56"/>
      <c r="E18" s="22"/>
      <c r="F18" s="44"/>
      <c r="G18" s="64"/>
      <c r="H18" s="22"/>
      <c r="I18" s="23"/>
      <c r="J18" s="23"/>
      <c r="K18" s="23"/>
      <c r="L18" s="23"/>
    </row>
    <row r="19" spans="1:13" ht="14.45" x14ac:dyDescent="0.3">
      <c r="A19" s="6"/>
      <c r="B19" s="1"/>
      <c r="C19" s="1"/>
      <c r="D19" s="57"/>
      <c r="E19" s="8"/>
      <c r="F19" s="42"/>
      <c r="G19" s="58"/>
      <c r="H19" s="8"/>
      <c r="I19" s="29"/>
      <c r="J19" s="29"/>
      <c r="K19" s="16"/>
      <c r="L19" s="118"/>
    </row>
    <row r="20" spans="1:13" thickBot="1" x14ac:dyDescent="0.35">
      <c r="A20" s="14">
        <v>316</v>
      </c>
      <c r="B20" s="15" t="s">
        <v>15</v>
      </c>
      <c r="C20" s="15"/>
      <c r="D20" s="55">
        <f>SUM(D21:D26)</f>
        <v>0</v>
      </c>
      <c r="E20" s="17"/>
      <c r="F20" s="43"/>
      <c r="G20" s="62"/>
      <c r="H20" s="34">
        <f>SUM(H21:H26)</f>
        <v>0</v>
      </c>
      <c r="I20" s="34">
        <f t="shared" ref="I20:L20" si="3">SUM(I21:I26)</f>
        <v>0</v>
      </c>
      <c r="J20" s="34">
        <f>SUM(J21:J26)</f>
        <v>0</v>
      </c>
      <c r="K20" s="34">
        <f t="shared" si="3"/>
        <v>0</v>
      </c>
      <c r="L20" s="117">
        <f t="shared" si="3"/>
        <v>0</v>
      </c>
    </row>
    <row r="21" spans="1:13" ht="14.45" x14ac:dyDescent="0.3">
      <c r="A21" s="6"/>
      <c r="B21" s="24" t="s">
        <v>172</v>
      </c>
      <c r="C21" s="30"/>
      <c r="D21" s="54">
        <v>0</v>
      </c>
      <c r="E21" s="31"/>
      <c r="F21" s="32"/>
      <c r="G21" s="63"/>
      <c r="H21" s="33">
        <f t="shared" ref="H21" si="4">IF(D21&gt;0,D21*F21,0)</f>
        <v>0</v>
      </c>
      <c r="I21" s="20">
        <f>IF(F21&gt;0,(((('Employee Direct Care'!C$5*52)*D21)*C21)*F21),0)</f>
        <v>0</v>
      </c>
      <c r="J21" s="33">
        <f>D21-H21</f>
        <v>0</v>
      </c>
      <c r="K21" s="20">
        <f>IF(F21&gt;0,(((('Employee Direct Care'!C$5*52)*D21)*C21)-I21),(((('Employee Direct Care'!C$5*52)*D21)*C21)-I21))</f>
        <v>0</v>
      </c>
      <c r="L21" s="20">
        <f>ROUND((H21*('Employee Direct Care'!C$5*52)*G21),1)</f>
        <v>0</v>
      </c>
    </row>
    <row r="22" spans="1:13" ht="14.45" x14ac:dyDescent="0.3">
      <c r="A22" s="6"/>
      <c r="B22" s="24" t="s">
        <v>16</v>
      </c>
      <c r="C22" s="30"/>
      <c r="D22" s="54">
        <v>0</v>
      </c>
      <c r="E22" s="31"/>
      <c r="F22" s="32"/>
      <c r="G22" s="63"/>
      <c r="H22" s="33">
        <f>IF(D22&gt;0,D22*F22,0)</f>
        <v>0</v>
      </c>
      <c r="I22" s="20">
        <f>IF(F22&gt;0,(((('Employee Direct Care'!C$5*52)*D22)*C22)*F22),0)</f>
        <v>0</v>
      </c>
      <c r="J22" s="33">
        <f t="shared" ref="J22:J25" si="5">D22-H22</f>
        <v>0</v>
      </c>
      <c r="K22" s="20">
        <f>IF(F22&gt;0,(((('Employee Direct Care'!C$5*52)*D22)*C22)-I22),(((('Employee Direct Care'!C$5*52)*D22)*C22)-I22))</f>
        <v>0</v>
      </c>
      <c r="L22" s="20">
        <f>ROUND((H22*('Employee Direct Care'!C$5*52)*G22),1)</f>
        <v>0</v>
      </c>
    </row>
    <row r="23" spans="1:13" ht="14.45" x14ac:dyDescent="0.3">
      <c r="A23" s="6"/>
      <c r="B23" s="24" t="s">
        <v>17</v>
      </c>
      <c r="C23" s="30"/>
      <c r="D23" s="54">
        <v>0</v>
      </c>
      <c r="E23" s="31"/>
      <c r="F23" s="32"/>
      <c r="G23" s="63"/>
      <c r="H23" s="33">
        <f>IF(D23&gt;0,D23*F23,0)</f>
        <v>0</v>
      </c>
      <c r="I23" s="20">
        <f>IF(F23&gt;0,(((('Employee Direct Care'!C$5*52)*D23)*C23)*F23),0)</f>
        <v>0</v>
      </c>
      <c r="J23" s="33">
        <f t="shared" si="5"/>
        <v>0</v>
      </c>
      <c r="K23" s="20">
        <f>IF(F23&gt;0,(((('Employee Direct Care'!C$5*52)*D23)*C23)-I23),(((('Employee Direct Care'!C$5*52)*D23)*C23)-I23))</f>
        <v>0</v>
      </c>
      <c r="L23" s="20">
        <f>ROUND((H23*('Employee Direct Care'!C$5*52)*G23),1)</f>
        <v>0</v>
      </c>
    </row>
    <row r="24" spans="1:13" ht="14.45" x14ac:dyDescent="0.3">
      <c r="A24" s="6"/>
      <c r="B24" s="24" t="s">
        <v>18</v>
      </c>
      <c r="C24" s="30"/>
      <c r="D24" s="54">
        <v>0</v>
      </c>
      <c r="E24" s="31"/>
      <c r="F24" s="32"/>
      <c r="G24" s="63"/>
      <c r="H24" s="33">
        <f>IF(D24&gt;0,D24*F24,0)</f>
        <v>0</v>
      </c>
      <c r="I24" s="20">
        <f>IF(F24&gt;0,(((('Employee Direct Care'!C$5*52)*D24)*C24)*F24),0)</f>
        <v>0</v>
      </c>
      <c r="J24" s="33">
        <f t="shared" si="5"/>
        <v>0</v>
      </c>
      <c r="K24" s="20">
        <f>IF(F24&gt;0,(((('Employee Direct Care'!C$5*52)*D24)*C24)-I24),(((('Employee Direct Care'!C$5*52)*D24)*C24)-I24))</f>
        <v>0</v>
      </c>
      <c r="L24" s="20">
        <f>ROUND((H24*('Employee Direct Care'!C$5*52)*G24),1)</f>
        <v>0</v>
      </c>
    </row>
    <row r="25" spans="1:13" ht="14.45" x14ac:dyDescent="0.3">
      <c r="A25" s="6"/>
      <c r="B25" s="24" t="s">
        <v>19</v>
      </c>
      <c r="C25" s="30"/>
      <c r="D25" s="54">
        <v>0</v>
      </c>
      <c r="E25" s="53"/>
      <c r="F25" s="32"/>
      <c r="G25" s="63"/>
      <c r="H25" s="33">
        <f>IF(D25&gt;0,D25*F25,0)</f>
        <v>0</v>
      </c>
      <c r="I25" s="20">
        <f>IF(F25&gt;0,(((('Employee Direct Care'!C$5*52)*D25)*C25)*F25),0)</f>
        <v>0</v>
      </c>
      <c r="J25" s="33">
        <f t="shared" si="5"/>
        <v>0</v>
      </c>
      <c r="K25" s="20">
        <f>IF(F25&gt;0,(((('Employee Direct Care'!C$5*52)*D25)*C25)-I25),(((('Employee Direct Care'!C$5*52)*D25)*C25)-I25))</f>
        <v>0</v>
      </c>
      <c r="L25" s="20">
        <f>ROUND((H25*('Employee Direct Care'!C$5*52)*G25),1)</f>
        <v>0</v>
      </c>
    </row>
    <row r="26" spans="1:13" ht="14.45" x14ac:dyDescent="0.3">
      <c r="A26" s="6"/>
      <c r="B26" s="21" t="s">
        <v>14</v>
      </c>
      <c r="C26" s="21"/>
      <c r="D26" s="56"/>
      <c r="E26" s="22"/>
      <c r="F26" s="44"/>
      <c r="G26" s="64"/>
      <c r="H26" s="22"/>
      <c r="I26" s="23"/>
      <c r="J26" s="23"/>
      <c r="K26" s="23"/>
      <c r="L26" s="23"/>
    </row>
    <row r="27" spans="1:13" ht="14.45" x14ac:dyDescent="0.3">
      <c r="A27" s="6"/>
      <c r="B27" s="1"/>
      <c r="C27" s="1"/>
      <c r="D27" s="57"/>
      <c r="E27" s="8"/>
      <c r="F27" s="42"/>
      <c r="G27" s="58"/>
      <c r="H27" s="8"/>
      <c r="I27" s="29"/>
      <c r="J27" s="29"/>
      <c r="K27" s="16"/>
      <c r="L27" s="118"/>
    </row>
    <row r="28" spans="1:13" thickBot="1" x14ac:dyDescent="0.35">
      <c r="A28" s="14">
        <v>317</v>
      </c>
      <c r="B28" s="15" t="s">
        <v>20</v>
      </c>
      <c r="C28" s="15"/>
      <c r="D28" s="55">
        <f>SUM(D29:D34)</f>
        <v>0</v>
      </c>
      <c r="E28" s="17"/>
      <c r="F28" s="43"/>
      <c r="G28" s="62"/>
      <c r="H28" s="34">
        <f>SUM(H29:H34)</f>
        <v>0</v>
      </c>
      <c r="I28" s="13">
        <f>SUM(I29:I34)</f>
        <v>0</v>
      </c>
      <c r="J28" s="34">
        <f>SUM(J29:J34)</f>
        <v>0</v>
      </c>
      <c r="K28" s="13">
        <f>SUM(K29:K34)</f>
        <v>0</v>
      </c>
      <c r="L28" s="117">
        <f>SUM(L29:L34)</f>
        <v>0</v>
      </c>
    </row>
    <row r="29" spans="1:13" ht="14.45" x14ac:dyDescent="0.3">
      <c r="A29" s="6"/>
      <c r="B29" s="18" t="s">
        <v>173</v>
      </c>
      <c r="C29" s="30"/>
      <c r="D29" s="54">
        <v>0</v>
      </c>
      <c r="E29" s="31"/>
      <c r="F29" s="32"/>
      <c r="G29" s="63"/>
      <c r="H29" s="33">
        <f>IF(D29&gt;0,D29*F29,0)</f>
        <v>0</v>
      </c>
      <c r="I29" s="20">
        <f>IF(F29&gt;0,(((('Employee Direct Care'!C$5*52)*D29)*C29)*F29),0)</f>
        <v>0</v>
      </c>
      <c r="J29" s="33">
        <f>D29-H29</f>
        <v>0</v>
      </c>
      <c r="K29" s="20">
        <f>IF(F29&gt;0,(((('Employee Direct Care'!C$5*52)*D29)*C29)-I29),(((('Employee Direct Care'!C$5*52)*D29)*C29)-I29))</f>
        <v>0</v>
      </c>
      <c r="L29" s="20">
        <f>ROUND((H29*('Employee Direct Care'!C$5*52)*G29),1)</f>
        <v>0</v>
      </c>
    </row>
    <row r="30" spans="1:13" x14ac:dyDescent="0.25">
      <c r="A30" s="6"/>
      <c r="B30" s="18" t="s">
        <v>21</v>
      </c>
      <c r="C30" s="30"/>
      <c r="D30" s="54"/>
      <c r="E30" s="31"/>
      <c r="F30" s="32"/>
      <c r="G30" s="63"/>
      <c r="H30" s="33">
        <f t="shared" ref="H30:H33" si="6">IF(D30&gt;0,D30*F30,0)</f>
        <v>0</v>
      </c>
      <c r="I30" s="20">
        <f>IF(F30&gt;0,(((('Employee Direct Care'!C$5*52)*D30)*C30)*F30),0)</f>
        <v>0</v>
      </c>
      <c r="J30" s="33">
        <f t="shared" ref="J30:J33" si="7">D30-H30</f>
        <v>0</v>
      </c>
      <c r="K30" s="20">
        <f>IF(F30&gt;0,(((('Employee Direct Care'!C$5*52)*D30)*C30)-I30),(((('Employee Direct Care'!C$5*52)*D30)*C30)-I30))</f>
        <v>0</v>
      </c>
      <c r="L30" s="20">
        <f>ROUND((H30*('Employee Direct Care'!C$5*52)*G30),1)</f>
        <v>0</v>
      </c>
    </row>
    <row r="31" spans="1:13" x14ac:dyDescent="0.25">
      <c r="A31" s="6"/>
      <c r="B31" s="18" t="s">
        <v>22</v>
      </c>
      <c r="C31" s="30"/>
      <c r="D31" s="54"/>
      <c r="E31" s="19"/>
      <c r="F31" s="32"/>
      <c r="G31" s="63"/>
      <c r="H31" s="33">
        <f t="shared" si="6"/>
        <v>0</v>
      </c>
      <c r="I31" s="20">
        <f>IF(F31&gt;0,(((('Employee Direct Care'!C$5*52)*D31)*C31)*F31),0)</f>
        <v>0</v>
      </c>
      <c r="J31" s="33">
        <f t="shared" si="7"/>
        <v>0</v>
      </c>
      <c r="K31" s="20">
        <f>IF(F31&gt;0,(((('Employee Direct Care'!C$5*52)*D31)*C31)-I31),(((('Employee Direct Care'!C$5*52)*D31)*C31)-I31))</f>
        <v>0</v>
      </c>
      <c r="L31" s="20">
        <f>ROUND((H31*('Employee Direct Care'!C$5*52)*G31),1)</f>
        <v>0</v>
      </c>
    </row>
    <row r="32" spans="1:13" x14ac:dyDescent="0.25">
      <c r="A32" s="6"/>
      <c r="B32" s="18" t="s">
        <v>23</v>
      </c>
      <c r="C32" s="30"/>
      <c r="D32" s="54">
        <v>0</v>
      </c>
      <c r="E32" s="19"/>
      <c r="F32" s="32"/>
      <c r="G32" s="63"/>
      <c r="H32" s="33">
        <f t="shared" si="6"/>
        <v>0</v>
      </c>
      <c r="I32" s="20">
        <f>IF(F32&gt;0,(((('Employee Direct Care'!C$5*52)*D32)*C32)*F32),0)</f>
        <v>0</v>
      </c>
      <c r="J32" s="33">
        <f t="shared" si="7"/>
        <v>0</v>
      </c>
      <c r="K32" s="20">
        <f>IF(F32&gt;0,(((('Employee Direct Care'!C$5*52)*D32)*C32)-I32),(((('Employee Direct Care'!C$5*52)*D32)*C32)-I32))</f>
        <v>0</v>
      </c>
      <c r="L32" s="20">
        <f>ROUND((H32*('Employee Direct Care'!C$5*52)*G32),1)</f>
        <v>0</v>
      </c>
    </row>
    <row r="33" spans="1:14" x14ac:dyDescent="0.25">
      <c r="A33" s="6"/>
      <c r="B33" s="18" t="s">
        <v>24</v>
      </c>
      <c r="C33" s="30"/>
      <c r="D33" s="54">
        <v>0</v>
      </c>
      <c r="E33" s="19"/>
      <c r="F33" s="32"/>
      <c r="G33" s="63"/>
      <c r="H33" s="33">
        <f t="shared" si="6"/>
        <v>0</v>
      </c>
      <c r="I33" s="20">
        <f>IF(F33&gt;0,(((('Employee Direct Care'!C$5*52)*D33)*C33)*F33),0)</f>
        <v>0</v>
      </c>
      <c r="J33" s="33">
        <f t="shared" si="7"/>
        <v>0</v>
      </c>
      <c r="K33" s="20">
        <f>IF(F33&gt;0,(((('Employee Direct Care'!C$5*52)*D33)*C33)-I33),(((('Employee Direct Care'!C$5*52)*D33)*C33)-I33))</f>
        <v>0</v>
      </c>
      <c r="L33" s="20">
        <f>ROUND((H33*('Employee Direct Care'!C$5*52)*G33),1)</f>
        <v>0</v>
      </c>
    </row>
    <row r="34" spans="1:14" x14ac:dyDescent="0.25">
      <c r="A34" s="6"/>
      <c r="B34" s="21" t="s">
        <v>14</v>
      </c>
      <c r="C34" s="21"/>
      <c r="D34" s="56"/>
      <c r="E34" s="22"/>
      <c r="F34" s="44"/>
      <c r="G34" s="64"/>
      <c r="H34" s="22"/>
      <c r="I34" s="23"/>
      <c r="J34" s="23"/>
      <c r="K34" s="23"/>
      <c r="L34" s="23"/>
    </row>
    <row r="35" spans="1:14" x14ac:dyDescent="0.25">
      <c r="A35" s="6"/>
      <c r="B35" s="1"/>
      <c r="C35" s="1"/>
      <c r="D35" s="57"/>
      <c r="E35" s="8"/>
      <c r="F35" s="42"/>
      <c r="G35" s="58"/>
      <c r="H35" s="8"/>
      <c r="I35" s="29"/>
      <c r="J35" s="29"/>
      <c r="K35" s="16"/>
      <c r="L35" s="118"/>
    </row>
    <row r="36" spans="1:14" ht="15.75" thickBot="1" x14ac:dyDescent="0.3">
      <c r="A36" s="14">
        <v>318</v>
      </c>
      <c r="B36" s="15" t="s">
        <v>25</v>
      </c>
      <c r="C36" s="15"/>
      <c r="D36" s="55">
        <f>SUM(D37:D42)</f>
        <v>1</v>
      </c>
      <c r="E36" s="17"/>
      <c r="F36" s="43"/>
      <c r="G36" s="62"/>
      <c r="H36" s="34">
        <f>SUM(H37:H42)</f>
        <v>0.85</v>
      </c>
      <c r="I36" s="13">
        <f>SUM(I37:I42)</f>
        <v>256360</v>
      </c>
      <c r="J36" s="34">
        <f>SUM(J37:J42)</f>
        <v>0.15000000000000002</v>
      </c>
      <c r="K36" s="13">
        <f>SUM(K37:K42)</f>
        <v>45240</v>
      </c>
      <c r="L36" s="117">
        <f>SUM(L37:L42)</f>
        <v>2121.6</v>
      </c>
    </row>
    <row r="37" spans="1:14" x14ac:dyDescent="0.25">
      <c r="A37" s="6"/>
      <c r="B37" s="18" t="s">
        <v>26</v>
      </c>
      <c r="C37" s="30">
        <v>145</v>
      </c>
      <c r="D37" s="54">
        <v>1</v>
      </c>
      <c r="E37" s="53" t="s">
        <v>185</v>
      </c>
      <c r="F37" s="32">
        <v>0.85</v>
      </c>
      <c r="G37" s="63">
        <v>1.2</v>
      </c>
      <c r="H37" s="33">
        <f t="shared" ref="H37:H41" si="8">IF(D37&gt;0,D37*F37,0)</f>
        <v>0.85</v>
      </c>
      <c r="I37" s="20">
        <f>IF(F37&gt;0,(((('Employee Direct Care'!C$5*52)*D37)*C37)*F37),0)</f>
        <v>256360</v>
      </c>
      <c r="J37" s="33">
        <f>D37-H37</f>
        <v>0.15000000000000002</v>
      </c>
      <c r="K37" s="20">
        <f>IF(F37&gt;0,(((('Employee Direct Care'!C$5*52)*D37)*C37)-I37),(((('Employee Direct Care'!C$5*52)*D37)*C37)-I37))</f>
        <v>45240</v>
      </c>
      <c r="L37" s="20">
        <f>ROUND((H37*('Employee Direct Care'!C$5*52)*G37),1)</f>
        <v>2121.6</v>
      </c>
      <c r="N37" s="499"/>
    </row>
    <row r="38" spans="1:14" x14ac:dyDescent="0.25">
      <c r="A38" s="6"/>
      <c r="B38" s="18" t="s">
        <v>27</v>
      </c>
      <c r="C38" s="30"/>
      <c r="D38" s="54">
        <v>0</v>
      </c>
      <c r="E38" s="31"/>
      <c r="F38" s="32"/>
      <c r="G38" s="63"/>
      <c r="H38" s="33">
        <f t="shared" si="8"/>
        <v>0</v>
      </c>
      <c r="I38" s="20">
        <f>IF(F38&gt;0,(((('Employee Direct Care'!C$5*52)*D38)*C38)*F38),0)</f>
        <v>0</v>
      </c>
      <c r="J38" s="33">
        <f t="shared" ref="J38:J41" si="9">D38-H38</f>
        <v>0</v>
      </c>
      <c r="K38" s="20">
        <f>IF(F38&gt;0,(((('Employee Direct Care'!C$5*52)*D38)*C38)-I38),(((('Employee Direct Care'!C$5*52)*D38)*C38)-I38))</f>
        <v>0</v>
      </c>
      <c r="L38" s="20">
        <f>ROUND((H38*('Employee Direct Care'!C$5*52)*G38),1)</f>
        <v>0</v>
      </c>
    </row>
    <row r="39" spans="1:14" x14ac:dyDescent="0.25">
      <c r="A39" s="6"/>
      <c r="B39" s="18" t="s">
        <v>28</v>
      </c>
      <c r="C39" s="30"/>
      <c r="D39" s="54">
        <v>0</v>
      </c>
      <c r="E39" s="19"/>
      <c r="F39" s="32"/>
      <c r="G39" s="63"/>
      <c r="H39" s="33">
        <f t="shared" si="8"/>
        <v>0</v>
      </c>
      <c r="I39" s="20">
        <f>IF(F39&gt;0,(((('Employee Direct Care'!C$5*52)*D39)*C39)*F39),0)</f>
        <v>0</v>
      </c>
      <c r="J39" s="33">
        <f t="shared" si="9"/>
        <v>0</v>
      </c>
      <c r="K39" s="20">
        <f>IF(F39&gt;0,(((('Employee Direct Care'!C$5*52)*D39)*C39)-I39),(((('Employee Direct Care'!C$5*52)*D39)*C39)-I39))</f>
        <v>0</v>
      </c>
      <c r="L39" s="20">
        <f>ROUND((H39*('Employee Direct Care'!C$5*52)*G39),1)</f>
        <v>0</v>
      </c>
    </row>
    <row r="40" spans="1:14" x14ac:dyDescent="0.25">
      <c r="A40" s="6"/>
      <c r="B40" s="18" t="s">
        <v>29</v>
      </c>
      <c r="C40" s="30"/>
      <c r="D40" s="54">
        <v>0</v>
      </c>
      <c r="E40" s="19"/>
      <c r="F40" s="32"/>
      <c r="G40" s="63"/>
      <c r="H40" s="33">
        <f t="shared" si="8"/>
        <v>0</v>
      </c>
      <c r="I40" s="20">
        <f>IF(F40&gt;0,(((('Employee Direct Care'!C$5*52)*D40)*C40)*F40),0)</f>
        <v>0</v>
      </c>
      <c r="J40" s="33">
        <f t="shared" si="9"/>
        <v>0</v>
      </c>
      <c r="K40" s="20">
        <f>IF(F40&gt;0,(((('Employee Direct Care'!C$5*52)*D40)*C40)-I40),(((('Employee Direct Care'!C$5*52)*D40)*C40)-I40))</f>
        <v>0</v>
      </c>
      <c r="L40" s="20">
        <f>ROUND((H40*('Employee Direct Care'!C$5*52)*G40),1)</f>
        <v>0</v>
      </c>
    </row>
    <row r="41" spans="1:14" x14ac:dyDescent="0.25">
      <c r="A41" s="6"/>
      <c r="B41" s="18" t="s">
        <v>30</v>
      </c>
      <c r="C41" s="30"/>
      <c r="D41" s="54">
        <v>0</v>
      </c>
      <c r="E41" s="19"/>
      <c r="F41" s="32"/>
      <c r="G41" s="63"/>
      <c r="H41" s="33">
        <f t="shared" si="8"/>
        <v>0</v>
      </c>
      <c r="I41" s="20">
        <f>IF(F41&gt;0,(((('Employee Direct Care'!C$5*52)*D41)*C41)*F41),0)</f>
        <v>0</v>
      </c>
      <c r="J41" s="33">
        <f t="shared" si="9"/>
        <v>0</v>
      </c>
      <c r="K41" s="20">
        <f>IF(F41&gt;0,(((('Employee Direct Care'!C$5*52)*D41)*C41)-I41),(((('Employee Direct Care'!C$5*52)*D41)*C41)-I41))</f>
        <v>0</v>
      </c>
      <c r="L41" s="20">
        <f>ROUND((H41*('Employee Direct Care'!C$5*52)*G41),1)</f>
        <v>0</v>
      </c>
    </row>
    <row r="42" spans="1:14" x14ac:dyDescent="0.25">
      <c r="A42" s="6"/>
      <c r="B42" s="21" t="s">
        <v>14</v>
      </c>
      <c r="C42" s="21"/>
      <c r="D42" s="56"/>
      <c r="E42" s="22"/>
      <c r="F42" s="44"/>
      <c r="G42" s="64"/>
      <c r="H42" s="22"/>
      <c r="I42" s="23"/>
      <c r="J42" s="23"/>
      <c r="K42" s="23"/>
      <c r="L42" s="23"/>
    </row>
    <row r="43" spans="1:14" x14ac:dyDescent="0.25">
      <c r="A43" s="6"/>
      <c r="B43" s="1"/>
      <c r="C43" s="1"/>
      <c r="D43" s="57"/>
      <c r="E43" s="8"/>
      <c r="F43" s="42"/>
      <c r="G43" s="58"/>
      <c r="H43" s="8"/>
      <c r="I43" s="29"/>
      <c r="J43" s="29"/>
      <c r="K43" s="16"/>
      <c r="L43" s="118"/>
    </row>
    <row r="44" spans="1:14" ht="15.75" thickBot="1" x14ac:dyDescent="0.3">
      <c r="A44" s="14">
        <v>319</v>
      </c>
      <c r="B44" s="25" t="s">
        <v>31</v>
      </c>
      <c r="C44" s="25"/>
      <c r="D44" s="55">
        <f>SUM(D45:D50)</f>
        <v>0</v>
      </c>
      <c r="E44" s="17"/>
      <c r="F44" s="43"/>
      <c r="G44" s="62"/>
      <c r="H44" s="34">
        <f>SUM(H45:H50)</f>
        <v>0</v>
      </c>
      <c r="I44" s="13">
        <f>SUM(I45:I50)</f>
        <v>0</v>
      </c>
      <c r="J44" s="34">
        <f>SUM(J45:J50)</f>
        <v>0</v>
      </c>
      <c r="K44" s="13">
        <f>SUM(K45:K50)</f>
        <v>0</v>
      </c>
      <c r="L44" s="117">
        <f>SUM(L45:L50)</f>
        <v>0</v>
      </c>
    </row>
    <row r="45" spans="1:14" x14ac:dyDescent="0.25">
      <c r="A45" s="6"/>
      <c r="B45" s="24" t="s">
        <v>32</v>
      </c>
      <c r="C45" s="30"/>
      <c r="D45" s="54">
        <v>0</v>
      </c>
      <c r="E45" s="31"/>
      <c r="F45" s="32"/>
      <c r="G45" s="63"/>
      <c r="H45" s="33">
        <f t="shared" ref="H45:H49" si="10">IF(D45&gt;0,D45*F45,0)</f>
        <v>0</v>
      </c>
      <c r="I45" s="20">
        <f>IF(F45&gt;0,(((('Employee Direct Care'!C$5*52)*D45)*C45)*F45),0)</f>
        <v>0</v>
      </c>
      <c r="J45" s="33">
        <f>D45-H45</f>
        <v>0</v>
      </c>
      <c r="K45" s="20">
        <f>IF(F45&gt;0,(((('Employee Direct Care'!C$5*52)*D45)*C45)-I45),(((('Employee Direct Care'!C$5*52)*D45)*C45)-I45))</f>
        <v>0</v>
      </c>
      <c r="L45" s="20">
        <f>ROUND((H45*('Employee Direct Care'!C$5*52)*G45),1)</f>
        <v>0</v>
      </c>
    </row>
    <row r="46" spans="1:14" x14ac:dyDescent="0.25">
      <c r="A46" s="6"/>
      <c r="B46" s="24" t="s">
        <v>33</v>
      </c>
      <c r="C46" s="24"/>
      <c r="D46" s="54">
        <v>0</v>
      </c>
      <c r="E46" s="19"/>
      <c r="F46" s="31"/>
      <c r="G46" s="63"/>
      <c r="H46" s="33">
        <f t="shared" si="10"/>
        <v>0</v>
      </c>
      <c r="I46" s="20">
        <f>IF(F46&gt;0,(((('Employee Direct Care'!C$5*52)*D46)*C46)*F46),0)</f>
        <v>0</v>
      </c>
      <c r="J46" s="33">
        <f t="shared" ref="J46:J49" si="11">D46-H46</f>
        <v>0</v>
      </c>
      <c r="K46" s="20">
        <f>IF(F46&gt;0,(((('Employee Direct Care'!C$5*52)*D46)*C46)-I46),(((('Employee Direct Care'!C$5*52)*D46)*C46)-I46))</f>
        <v>0</v>
      </c>
      <c r="L46" s="20">
        <f>ROUND((H46*('Employee Direct Care'!C$5*52)*G46),1)</f>
        <v>0</v>
      </c>
    </row>
    <row r="47" spans="1:14" x14ac:dyDescent="0.25">
      <c r="A47" s="6"/>
      <c r="B47" s="24" t="s">
        <v>34</v>
      </c>
      <c r="C47" s="24"/>
      <c r="D47" s="54">
        <v>0</v>
      </c>
      <c r="E47" s="19"/>
      <c r="F47" s="31"/>
      <c r="G47" s="63"/>
      <c r="H47" s="33">
        <f t="shared" si="10"/>
        <v>0</v>
      </c>
      <c r="I47" s="20">
        <f>IF(F47&gt;0,(((('Employee Direct Care'!C$5*52)*D47)*C47)*F47),0)</f>
        <v>0</v>
      </c>
      <c r="J47" s="33">
        <f t="shared" si="11"/>
        <v>0</v>
      </c>
      <c r="K47" s="20">
        <f>IF(F47&gt;0,(((('Employee Direct Care'!C$5*52)*D47)*C47)-I47),(((('Employee Direct Care'!C$5*52)*D47)*C47)-I47))</f>
        <v>0</v>
      </c>
      <c r="L47" s="20">
        <f>ROUND((H47*('Employee Direct Care'!C$5*52)*G47),1)</f>
        <v>0</v>
      </c>
    </row>
    <row r="48" spans="1:14" x14ac:dyDescent="0.25">
      <c r="A48" s="6"/>
      <c r="B48" s="24" t="s">
        <v>35</v>
      </c>
      <c r="C48" s="24"/>
      <c r="D48" s="54">
        <v>0</v>
      </c>
      <c r="E48" s="19"/>
      <c r="F48" s="31"/>
      <c r="G48" s="63"/>
      <c r="H48" s="33">
        <f t="shared" si="10"/>
        <v>0</v>
      </c>
      <c r="I48" s="20">
        <f>IF(F48&gt;0,(((('Employee Direct Care'!C$5*52)*D48)*C48)*F48),0)</f>
        <v>0</v>
      </c>
      <c r="J48" s="33">
        <f t="shared" si="11"/>
        <v>0</v>
      </c>
      <c r="K48" s="20">
        <f>IF(F48&gt;0,(((('Employee Direct Care'!C$5*52)*D48)*C48)-I48),(((('Employee Direct Care'!C$5*52)*D48)*C48)-I48))</f>
        <v>0</v>
      </c>
      <c r="L48" s="20">
        <f>ROUND((H48*('Employee Direct Care'!C$5*52)*G48),1)</f>
        <v>0</v>
      </c>
    </row>
    <row r="49" spans="1:12" x14ac:dyDescent="0.25">
      <c r="A49" s="6"/>
      <c r="B49" s="24" t="s">
        <v>36</v>
      </c>
      <c r="C49" s="24"/>
      <c r="D49" s="54">
        <v>0</v>
      </c>
      <c r="E49" s="19"/>
      <c r="F49" s="31"/>
      <c r="G49" s="63"/>
      <c r="H49" s="33">
        <f t="shared" si="10"/>
        <v>0</v>
      </c>
      <c r="I49" s="20">
        <f>IF(F49&gt;0,(((('Employee Direct Care'!C$5*52)*D49)*C49)*F49),0)</f>
        <v>0</v>
      </c>
      <c r="J49" s="33">
        <f t="shared" si="11"/>
        <v>0</v>
      </c>
      <c r="K49" s="20">
        <f>IF(F49&gt;0,(((('Employee Direct Care'!C$5*52)*D49)*C49)-I49),(((('Employee Direct Care'!C$5*52)*D49)*C49)-I49))</f>
        <v>0</v>
      </c>
      <c r="L49" s="20">
        <f>ROUND((H49*('Employee Direct Care'!C$5*52)*G49),1)</f>
        <v>0</v>
      </c>
    </row>
    <row r="50" spans="1:12" x14ac:dyDescent="0.25">
      <c r="A50" s="6"/>
      <c r="B50" s="21" t="s">
        <v>14</v>
      </c>
      <c r="C50" s="21"/>
      <c r="D50" s="56"/>
      <c r="E50" s="22"/>
      <c r="F50" s="44"/>
      <c r="G50" s="64"/>
      <c r="H50" s="22"/>
      <c r="I50" s="23"/>
      <c r="J50" s="23"/>
      <c r="K50" s="23"/>
      <c r="L50" s="23"/>
    </row>
    <row r="51" spans="1:12" x14ac:dyDescent="0.25">
      <c r="A51" s="6"/>
      <c r="B51" s="1"/>
      <c r="C51" s="1"/>
      <c r="D51" s="57"/>
      <c r="E51" s="8"/>
      <c r="F51" s="42"/>
      <c r="G51" s="58"/>
      <c r="H51" s="8"/>
      <c r="I51" s="29"/>
      <c r="J51" s="29"/>
      <c r="K51" s="16"/>
      <c r="L51" s="118"/>
    </row>
    <row r="52" spans="1:12" ht="15.75" thickBot="1" x14ac:dyDescent="0.3">
      <c r="A52" s="14">
        <v>320</v>
      </c>
      <c r="B52" s="15" t="s">
        <v>37</v>
      </c>
      <c r="C52" s="15"/>
      <c r="D52" s="55">
        <f>SUM(D53:D58)</f>
        <v>0</v>
      </c>
      <c r="E52" s="17"/>
      <c r="F52" s="43"/>
      <c r="G52" s="62"/>
      <c r="H52" s="34">
        <f>SUM(H53:H58)</f>
        <v>0</v>
      </c>
      <c r="I52" s="13">
        <f>SUM(I53:I58)</f>
        <v>0</v>
      </c>
      <c r="J52" s="34">
        <f>SUM(J53:J58)</f>
        <v>0</v>
      </c>
      <c r="K52" s="13">
        <f>SUM(K53:K58)</f>
        <v>0</v>
      </c>
      <c r="L52" s="117">
        <f>SUM(L53:L58)</f>
        <v>0</v>
      </c>
    </row>
    <row r="53" spans="1:12" x14ac:dyDescent="0.25">
      <c r="A53" s="6"/>
      <c r="B53" s="24" t="s">
        <v>38</v>
      </c>
      <c r="C53" s="30"/>
      <c r="D53" s="54">
        <v>0</v>
      </c>
      <c r="E53" s="31"/>
      <c r="F53" s="32"/>
      <c r="G53" s="63"/>
      <c r="H53" s="33">
        <f t="shared" ref="H53:H57" si="12">IF(D53&gt;0,D53*F53,0)</f>
        <v>0</v>
      </c>
      <c r="I53" s="20">
        <f>IF(F53&gt;0,(((('Employee Direct Care'!C$5*52)*D53)*C53)*F53),0)</f>
        <v>0</v>
      </c>
      <c r="J53" s="33">
        <f>D53-H53</f>
        <v>0</v>
      </c>
      <c r="K53" s="20">
        <f>IF(F53&gt;0,(((('Employee Direct Care'!C$5*52)*D53)*C53)-I53),(((('Employee Direct Care'!C$5*52)*D53)*C53)-I53))</f>
        <v>0</v>
      </c>
      <c r="L53" s="20">
        <f>ROUND((H53*('Employee Direct Care'!C$5*52)*G53),1)</f>
        <v>0</v>
      </c>
    </row>
    <row r="54" spans="1:12" x14ac:dyDescent="0.25">
      <c r="A54" s="6"/>
      <c r="B54" s="24" t="s">
        <v>39</v>
      </c>
      <c r="C54" s="24"/>
      <c r="D54" s="54">
        <v>0</v>
      </c>
      <c r="E54" s="19"/>
      <c r="F54" s="31"/>
      <c r="G54" s="63"/>
      <c r="H54" s="33">
        <f t="shared" si="12"/>
        <v>0</v>
      </c>
      <c r="I54" s="20">
        <f>IF(F54&gt;0,(((('Employee Direct Care'!C$5*52)*D54)*C54)*F54),0)</f>
        <v>0</v>
      </c>
      <c r="J54" s="33">
        <f t="shared" ref="J54:J57" si="13">D54-H54</f>
        <v>0</v>
      </c>
      <c r="K54" s="20">
        <f>IF(F54&gt;0,(((('Employee Direct Care'!C$5*52)*D54)*C54)-I54),(((('Employee Direct Care'!C$5*52)*D54)*C54)-I54))</f>
        <v>0</v>
      </c>
      <c r="L54" s="20">
        <f>ROUND((H54*('Employee Direct Care'!C$5*52)*G54),1)</f>
        <v>0</v>
      </c>
    </row>
    <row r="55" spans="1:12" x14ac:dyDescent="0.25">
      <c r="A55" s="6"/>
      <c r="B55" s="24" t="s">
        <v>40</v>
      </c>
      <c r="C55" s="24"/>
      <c r="D55" s="54">
        <v>0</v>
      </c>
      <c r="E55" s="19"/>
      <c r="F55" s="31"/>
      <c r="G55" s="63"/>
      <c r="H55" s="33">
        <f t="shared" si="12"/>
        <v>0</v>
      </c>
      <c r="I55" s="20">
        <f>IF(F55&gt;0,(((('Employee Direct Care'!C$5*52)*D55)*C55)*F55),0)</f>
        <v>0</v>
      </c>
      <c r="J55" s="33">
        <f t="shared" si="13"/>
        <v>0</v>
      </c>
      <c r="K55" s="20">
        <f>IF(F55&gt;0,(((('Employee Direct Care'!C$5*52)*D55)*C55)-I55),(((('Employee Direct Care'!C$5*52)*D55)*C55)-I55))</f>
        <v>0</v>
      </c>
      <c r="L55" s="20">
        <f>ROUND((H55*('Employee Direct Care'!C$5*52)*G55),1)</f>
        <v>0</v>
      </c>
    </row>
    <row r="56" spans="1:12" x14ac:dyDescent="0.25">
      <c r="A56" s="6"/>
      <c r="B56" s="24" t="s">
        <v>41</v>
      </c>
      <c r="C56" s="24"/>
      <c r="D56" s="54">
        <v>0</v>
      </c>
      <c r="E56" s="19"/>
      <c r="F56" s="31"/>
      <c r="G56" s="63"/>
      <c r="H56" s="33">
        <f t="shared" si="12"/>
        <v>0</v>
      </c>
      <c r="I56" s="20">
        <f>IF(F56&gt;0,(((('Employee Direct Care'!C$5*52)*D56)*C56)*F56),0)</f>
        <v>0</v>
      </c>
      <c r="J56" s="33">
        <f t="shared" si="13"/>
        <v>0</v>
      </c>
      <c r="K56" s="20">
        <f>IF(F56&gt;0,(((('Employee Direct Care'!C$5*52)*D56)*C56)-I56),(((('Employee Direct Care'!C$5*52)*D56)*C56)-I56))</f>
        <v>0</v>
      </c>
      <c r="L56" s="20">
        <f>ROUND((H56*('Employee Direct Care'!C$5*52)*G56),1)</f>
        <v>0</v>
      </c>
    </row>
    <row r="57" spans="1:12" x14ac:dyDescent="0.25">
      <c r="A57" s="6"/>
      <c r="B57" s="24" t="s">
        <v>42</v>
      </c>
      <c r="C57" s="24"/>
      <c r="D57" s="54">
        <v>0</v>
      </c>
      <c r="E57" s="19"/>
      <c r="F57" s="31"/>
      <c r="G57" s="63"/>
      <c r="H57" s="33">
        <f t="shared" si="12"/>
        <v>0</v>
      </c>
      <c r="I57" s="20">
        <f>IF(F57&gt;0,(((('Employee Direct Care'!C$5*52)*D57)*C57)*F57),0)</f>
        <v>0</v>
      </c>
      <c r="J57" s="33">
        <f t="shared" si="13"/>
        <v>0</v>
      </c>
      <c r="K57" s="20">
        <f>IF(F57&gt;0,(((('Employee Direct Care'!C$5*52)*D57)*C57)-I57),(((('Employee Direct Care'!C$5*52)*D57)*C57)-I57))</f>
        <v>0</v>
      </c>
      <c r="L57" s="20">
        <f>ROUND((H57*('Employee Direct Care'!C$5*52)*G57),1)</f>
        <v>0</v>
      </c>
    </row>
    <row r="58" spans="1:12" x14ac:dyDescent="0.25">
      <c r="A58" s="6"/>
      <c r="B58" s="21" t="s">
        <v>14</v>
      </c>
      <c r="C58" s="21"/>
      <c r="D58" s="56"/>
      <c r="E58" s="22"/>
      <c r="F58" s="44"/>
      <c r="G58" s="64"/>
      <c r="H58" s="22"/>
      <c r="I58" s="23"/>
      <c r="J58" s="23"/>
      <c r="K58" s="23"/>
      <c r="L58" s="23"/>
    </row>
    <row r="59" spans="1:12" x14ac:dyDescent="0.25">
      <c r="A59" s="6"/>
      <c r="B59" s="1"/>
      <c r="C59" s="1"/>
      <c r="D59" s="57"/>
      <c r="E59" s="8"/>
      <c r="F59" s="42"/>
      <c r="G59" s="58"/>
      <c r="H59" s="8"/>
      <c r="I59" s="29"/>
      <c r="J59" s="29"/>
      <c r="K59" s="16"/>
      <c r="L59" s="118"/>
    </row>
    <row r="60" spans="1:12" ht="15.75" thickBot="1" x14ac:dyDescent="0.3">
      <c r="A60" s="14">
        <v>321</v>
      </c>
      <c r="B60" s="15" t="s">
        <v>43</v>
      </c>
      <c r="C60" s="15"/>
      <c r="D60" s="55">
        <f>SUM(D61:D66)</f>
        <v>0</v>
      </c>
      <c r="E60" s="17"/>
      <c r="F60" s="43"/>
      <c r="G60" s="62"/>
      <c r="H60" s="34">
        <f>SUM(H61:H66)</f>
        <v>0</v>
      </c>
      <c r="I60" s="13">
        <f>SUM(I61:I66)</f>
        <v>0</v>
      </c>
      <c r="J60" s="34">
        <f>SUM(J61:J66)</f>
        <v>0</v>
      </c>
      <c r="K60" s="13">
        <f>SUM(K61:K66)</f>
        <v>0</v>
      </c>
      <c r="L60" s="117">
        <f>SUM(L61:L66)</f>
        <v>0</v>
      </c>
    </row>
    <row r="61" spans="1:12" x14ac:dyDescent="0.25">
      <c r="A61" s="6"/>
      <c r="B61" s="24" t="s">
        <v>44</v>
      </c>
      <c r="C61" s="30"/>
      <c r="D61" s="54">
        <v>0</v>
      </c>
      <c r="E61" s="31"/>
      <c r="F61" s="32"/>
      <c r="G61" s="63"/>
      <c r="H61" s="33">
        <f t="shared" ref="H61:H65" si="14">IF(D61&gt;0,D61*F61,0)</f>
        <v>0</v>
      </c>
      <c r="I61" s="20">
        <f>IF(F61&gt;0,(((('Employee Direct Care'!C$5*52)*D61)*C61)*F61),0)</f>
        <v>0</v>
      </c>
      <c r="J61" s="33">
        <f>D61-H61</f>
        <v>0</v>
      </c>
      <c r="K61" s="20">
        <f>IF(F61&gt;0,(((('Employee Direct Care'!C$5*52)*D61)*C61)-I61),(((('Employee Direct Care'!C$5*52)*D61)*C61)-I61))</f>
        <v>0</v>
      </c>
      <c r="L61" s="20">
        <f>ROUND((H61*('Employee Direct Care'!C$5*52)*G61),1)</f>
        <v>0</v>
      </c>
    </row>
    <row r="62" spans="1:12" x14ac:dyDescent="0.25">
      <c r="A62" s="6"/>
      <c r="B62" s="24" t="s">
        <v>45</v>
      </c>
      <c r="C62" s="24"/>
      <c r="D62" s="54">
        <v>0</v>
      </c>
      <c r="E62" s="19"/>
      <c r="F62" s="31"/>
      <c r="G62" s="63"/>
      <c r="H62" s="33">
        <f t="shared" si="14"/>
        <v>0</v>
      </c>
      <c r="I62" s="20">
        <f>IF(F62&gt;0,(((('Employee Direct Care'!C$5*52)*D62)*C62)*F62),0)</f>
        <v>0</v>
      </c>
      <c r="J62" s="33">
        <f t="shared" ref="J62:J65" si="15">D62-H62</f>
        <v>0</v>
      </c>
      <c r="K62" s="20">
        <f>IF(F62&gt;0,(((('Employee Direct Care'!C$5*52)*D62)*C62)-I62),(((('Employee Direct Care'!C$5*52)*D62)*C62)-I62))</f>
        <v>0</v>
      </c>
      <c r="L62" s="20">
        <f>ROUND((H62*('Employee Direct Care'!C$5*52)*G62),1)</f>
        <v>0</v>
      </c>
    </row>
    <row r="63" spans="1:12" x14ac:dyDescent="0.25">
      <c r="A63" s="6"/>
      <c r="B63" s="24" t="s">
        <v>46</v>
      </c>
      <c r="C63" s="24"/>
      <c r="D63" s="54">
        <v>0</v>
      </c>
      <c r="E63" s="19"/>
      <c r="F63" s="31"/>
      <c r="G63" s="63"/>
      <c r="H63" s="33">
        <f t="shared" si="14"/>
        <v>0</v>
      </c>
      <c r="I63" s="20">
        <f>IF(F63&gt;0,(((('Employee Direct Care'!C$5*52)*D63)*C63)*F63),0)</f>
        <v>0</v>
      </c>
      <c r="J63" s="33">
        <f t="shared" si="15"/>
        <v>0</v>
      </c>
      <c r="K63" s="20">
        <f>IF(F63&gt;0,(((('Employee Direct Care'!C$5*52)*D63)*C63)-I63),(((('Employee Direct Care'!C$5*52)*D63)*C63)-I63))</f>
        <v>0</v>
      </c>
      <c r="L63" s="20">
        <f>ROUND((H63*('Employee Direct Care'!C$5*52)*G63),1)</f>
        <v>0</v>
      </c>
    </row>
    <row r="64" spans="1:12" x14ac:dyDescent="0.25">
      <c r="A64" s="6"/>
      <c r="B64" s="24" t="s">
        <v>47</v>
      </c>
      <c r="C64" s="24"/>
      <c r="D64" s="54">
        <v>0</v>
      </c>
      <c r="E64" s="19"/>
      <c r="F64" s="31"/>
      <c r="G64" s="63"/>
      <c r="H64" s="33">
        <f t="shared" si="14"/>
        <v>0</v>
      </c>
      <c r="I64" s="20">
        <f>IF(F64&gt;0,(((('Employee Direct Care'!C$5*52)*D64)*C64)*F64),0)</f>
        <v>0</v>
      </c>
      <c r="J64" s="33">
        <f t="shared" si="15"/>
        <v>0</v>
      </c>
      <c r="K64" s="20">
        <f>IF(F64&gt;0,(((('Employee Direct Care'!C$5*52)*D64)*C64)-I64),(((('Employee Direct Care'!C$5*52)*D64)*C64)-I64))</f>
        <v>0</v>
      </c>
      <c r="L64" s="20">
        <f>ROUND((H64*('Employee Direct Care'!C$5*52)*G64),1)</f>
        <v>0</v>
      </c>
    </row>
    <row r="65" spans="1:12" x14ac:dyDescent="0.25">
      <c r="A65" s="6"/>
      <c r="B65" s="24" t="s">
        <v>48</v>
      </c>
      <c r="C65" s="24"/>
      <c r="D65" s="54">
        <v>0</v>
      </c>
      <c r="E65" s="19"/>
      <c r="F65" s="31"/>
      <c r="G65" s="63"/>
      <c r="H65" s="33">
        <f t="shared" si="14"/>
        <v>0</v>
      </c>
      <c r="I65" s="20">
        <f>IF(F65&gt;0,(((('Employee Direct Care'!C$5*52)*D65)*C65)*F65),0)</f>
        <v>0</v>
      </c>
      <c r="J65" s="33">
        <f t="shared" si="15"/>
        <v>0</v>
      </c>
      <c r="K65" s="20">
        <f>IF(F65&gt;0,(((('Employee Direct Care'!C$5*52)*D65)*C65)-I65),(((('Employee Direct Care'!C$5*52)*D65)*C65)-I65))</f>
        <v>0</v>
      </c>
      <c r="L65" s="20">
        <f>ROUND((H65*('Employee Direct Care'!C$5*52)*G65),1)</f>
        <v>0</v>
      </c>
    </row>
    <row r="66" spans="1:12" x14ac:dyDescent="0.25">
      <c r="A66" s="6"/>
      <c r="B66" s="21" t="s">
        <v>14</v>
      </c>
      <c r="C66" s="21"/>
      <c r="D66" s="56"/>
      <c r="E66" s="22"/>
      <c r="F66" s="44"/>
      <c r="G66" s="64"/>
      <c r="H66" s="22"/>
      <c r="I66" s="23"/>
      <c r="J66" s="23"/>
      <c r="K66" s="23"/>
      <c r="L66" s="23"/>
    </row>
    <row r="67" spans="1:12" x14ac:dyDescent="0.25">
      <c r="A67" s="6"/>
      <c r="B67" s="1"/>
      <c r="C67" s="1"/>
      <c r="D67" s="57"/>
      <c r="E67" s="8"/>
      <c r="F67" s="42"/>
      <c r="G67" s="58"/>
      <c r="H67" s="8"/>
      <c r="I67" s="29"/>
      <c r="J67" s="29"/>
      <c r="K67" s="16"/>
      <c r="L67" s="118"/>
    </row>
    <row r="68" spans="1:12" ht="15.75" thickBot="1" x14ac:dyDescent="0.3">
      <c r="A68" s="14">
        <v>322</v>
      </c>
      <c r="B68" s="25" t="s">
        <v>49</v>
      </c>
      <c r="C68" s="25"/>
      <c r="D68" s="55">
        <f>SUM(D69:D74)</f>
        <v>0</v>
      </c>
      <c r="E68" s="17"/>
      <c r="F68" s="43"/>
      <c r="G68" s="62"/>
      <c r="H68" s="34">
        <f>SUM(H69:H74)</f>
        <v>0</v>
      </c>
      <c r="I68" s="13">
        <f>SUM(I69:I74)</f>
        <v>0</v>
      </c>
      <c r="J68" s="34">
        <f>SUM(J69:J74)</f>
        <v>0</v>
      </c>
      <c r="K68" s="13">
        <f>SUM(K69:K74)</f>
        <v>0</v>
      </c>
      <c r="L68" s="117">
        <f>SUM(L69:L74)</f>
        <v>0</v>
      </c>
    </row>
    <row r="69" spans="1:12" x14ac:dyDescent="0.25">
      <c r="A69" s="6"/>
      <c r="B69" s="24" t="s">
        <v>50</v>
      </c>
      <c r="C69" s="30"/>
      <c r="D69" s="54">
        <v>0</v>
      </c>
      <c r="E69" s="31"/>
      <c r="F69" s="32"/>
      <c r="G69" s="63"/>
      <c r="H69" s="33">
        <f t="shared" ref="H69:H73" si="16">IF(D69&gt;0,D69*F69,0)</f>
        <v>0</v>
      </c>
      <c r="I69" s="20">
        <f>IF(F69&gt;0,(((('Employee Direct Care'!C$5*52)*D69)*C69)*F69),0)</f>
        <v>0</v>
      </c>
      <c r="J69" s="33">
        <f>D69-H69</f>
        <v>0</v>
      </c>
      <c r="K69" s="20">
        <f>IF(F69&gt;0,(((('Employee Direct Care'!C$5*52)*D69)*C69)-I69),(((('Employee Direct Care'!C$5*52)*D69)*C69)-I69))</f>
        <v>0</v>
      </c>
      <c r="L69" s="20">
        <f>ROUND((H69*('Employee Direct Care'!C$5*52)*G69),1)</f>
        <v>0</v>
      </c>
    </row>
    <row r="70" spans="1:12" x14ac:dyDescent="0.25">
      <c r="A70" s="6"/>
      <c r="B70" s="24" t="s">
        <v>51</v>
      </c>
      <c r="C70" s="24"/>
      <c r="D70" s="54">
        <v>0</v>
      </c>
      <c r="E70" s="19"/>
      <c r="F70" s="31"/>
      <c r="G70" s="63"/>
      <c r="H70" s="33">
        <f t="shared" si="16"/>
        <v>0</v>
      </c>
      <c r="I70" s="20">
        <f>IF(F70&gt;0,(((('Employee Direct Care'!C$5*52)*D70)*C70)*F70),0)</f>
        <v>0</v>
      </c>
      <c r="J70" s="33">
        <f t="shared" ref="J70:J73" si="17">D70-H70</f>
        <v>0</v>
      </c>
      <c r="K70" s="20">
        <f>IF(F70&gt;0,(((('Employee Direct Care'!C$5*52)*D70)*C70)-I70),(((('Employee Direct Care'!C$5*52)*D70)*C70)-I70))</f>
        <v>0</v>
      </c>
      <c r="L70" s="20">
        <f>ROUND((H70*('Employee Direct Care'!C$5*52)*G70),1)</f>
        <v>0</v>
      </c>
    </row>
    <row r="71" spans="1:12" x14ac:dyDescent="0.25">
      <c r="A71" s="6"/>
      <c r="B71" s="24" t="s">
        <v>52</v>
      </c>
      <c r="C71" s="24"/>
      <c r="D71" s="54">
        <v>0</v>
      </c>
      <c r="E71" s="19"/>
      <c r="F71" s="31"/>
      <c r="G71" s="63"/>
      <c r="H71" s="33">
        <f t="shared" si="16"/>
        <v>0</v>
      </c>
      <c r="I71" s="20">
        <f>IF(F71&gt;0,(((('Employee Direct Care'!C$5*52)*D71)*C71)*F71),0)</f>
        <v>0</v>
      </c>
      <c r="J71" s="33">
        <f t="shared" si="17"/>
        <v>0</v>
      </c>
      <c r="K71" s="20">
        <f>IF(F71&gt;0,(((('Employee Direct Care'!C$5*52)*D71)*C71)-I71),(((('Employee Direct Care'!C$5*52)*D71)*C71)-I71))</f>
        <v>0</v>
      </c>
      <c r="L71" s="20">
        <f>ROUND((H71*('Employee Direct Care'!C$5*52)*G71),1)</f>
        <v>0</v>
      </c>
    </row>
    <row r="72" spans="1:12" x14ac:dyDescent="0.25">
      <c r="A72" s="6"/>
      <c r="B72" s="24" t="s">
        <v>53</v>
      </c>
      <c r="C72" s="24"/>
      <c r="D72" s="54">
        <v>0</v>
      </c>
      <c r="E72" s="19"/>
      <c r="F72" s="31"/>
      <c r="G72" s="63"/>
      <c r="H72" s="33">
        <f t="shared" si="16"/>
        <v>0</v>
      </c>
      <c r="I72" s="20">
        <f>IF(F72&gt;0,(((('Employee Direct Care'!C$5*52)*D72)*C72)*F72),0)</f>
        <v>0</v>
      </c>
      <c r="J72" s="33">
        <f t="shared" si="17"/>
        <v>0</v>
      </c>
      <c r="K72" s="20">
        <f>IF(F72&gt;0,(((('Employee Direct Care'!C$5*52)*D72)*C72)-I72),(((('Employee Direct Care'!C$5*52)*D72)*C72)-I72))</f>
        <v>0</v>
      </c>
      <c r="L72" s="20">
        <f>ROUND((H72*('Employee Direct Care'!C$5*52)*G72),1)</f>
        <v>0</v>
      </c>
    </row>
    <row r="73" spans="1:12" x14ac:dyDescent="0.25">
      <c r="A73" s="6"/>
      <c r="B73" s="24" t="s">
        <v>54</v>
      </c>
      <c r="C73" s="24"/>
      <c r="D73" s="54">
        <v>0</v>
      </c>
      <c r="E73" s="19"/>
      <c r="F73" s="31"/>
      <c r="G73" s="63"/>
      <c r="H73" s="33">
        <f t="shared" si="16"/>
        <v>0</v>
      </c>
      <c r="I73" s="20">
        <f>IF(F73&gt;0,(((('Employee Direct Care'!C$5*52)*D73)*C73)*F73),0)</f>
        <v>0</v>
      </c>
      <c r="J73" s="33">
        <f t="shared" si="17"/>
        <v>0</v>
      </c>
      <c r="K73" s="20">
        <f>IF(F73&gt;0,(((('Employee Direct Care'!C$5*52)*D73)*C73)-I73),(((('Employee Direct Care'!C$5*52)*D73)*C73)-I73))</f>
        <v>0</v>
      </c>
      <c r="L73" s="20">
        <f>ROUND((H73*('Employee Direct Care'!C$5*52)*G73),1)</f>
        <v>0</v>
      </c>
    </row>
    <row r="74" spans="1:12" x14ac:dyDescent="0.25">
      <c r="A74" s="6"/>
      <c r="B74" s="21" t="s">
        <v>14</v>
      </c>
      <c r="C74" s="21"/>
      <c r="D74" s="56"/>
      <c r="E74" s="22"/>
      <c r="F74" s="44"/>
      <c r="G74" s="64"/>
      <c r="H74" s="22"/>
      <c r="I74" s="23"/>
      <c r="J74" s="23"/>
      <c r="K74" s="23"/>
      <c r="L74" s="23"/>
    </row>
    <row r="75" spans="1:12" x14ac:dyDescent="0.25">
      <c r="A75" s="6"/>
      <c r="B75" s="1"/>
      <c r="C75" s="1"/>
      <c r="D75" s="57"/>
      <c r="E75" s="8"/>
      <c r="F75" s="42"/>
      <c r="G75" s="58"/>
      <c r="H75" s="8"/>
      <c r="I75" s="29"/>
      <c r="J75" s="29"/>
      <c r="K75" s="16"/>
      <c r="L75" s="118"/>
    </row>
    <row r="76" spans="1:12" ht="15.75" thickBot="1" x14ac:dyDescent="0.3">
      <c r="A76" s="14">
        <v>323</v>
      </c>
      <c r="B76" s="25" t="s">
        <v>55</v>
      </c>
      <c r="C76" s="25"/>
      <c r="D76" s="55">
        <f>SUM(D77:D82)</f>
        <v>0</v>
      </c>
      <c r="E76" s="17"/>
      <c r="F76" s="43"/>
      <c r="G76" s="62"/>
      <c r="H76" s="34">
        <f>SUM(H77:H82)</f>
        <v>0</v>
      </c>
      <c r="I76" s="13">
        <f>SUM(I77:I82)</f>
        <v>0</v>
      </c>
      <c r="J76" s="34">
        <f>SUM(J77:J82)</f>
        <v>0</v>
      </c>
      <c r="K76" s="13">
        <f>SUM(K77:K82)</f>
        <v>0</v>
      </c>
      <c r="L76" s="117">
        <f>SUM(L77:L82)</f>
        <v>0</v>
      </c>
    </row>
    <row r="77" spans="1:12" x14ac:dyDescent="0.25">
      <c r="A77" s="6"/>
      <c r="B77" s="24" t="s">
        <v>56</v>
      </c>
      <c r="C77" s="30"/>
      <c r="D77" s="54">
        <v>0</v>
      </c>
      <c r="E77" s="31"/>
      <c r="F77" s="32"/>
      <c r="G77" s="63"/>
      <c r="H77" s="33">
        <f t="shared" ref="H77:H81" si="18">IF(D77&gt;0,D77*F77,0)</f>
        <v>0</v>
      </c>
      <c r="I77" s="20">
        <f>IF(F77&gt;0,(((('Employee Direct Care'!C$5*52)*D77)*C77)*F77),0)</f>
        <v>0</v>
      </c>
      <c r="J77" s="33">
        <f>D77-H77</f>
        <v>0</v>
      </c>
      <c r="K77" s="20">
        <f>IF(F77&gt;0,(((('Employee Direct Care'!C$5*52)*D77)*C77)-I77),(((('Employee Direct Care'!C$5*52)*D77)*C77)-I77))</f>
        <v>0</v>
      </c>
      <c r="L77" s="20">
        <f>ROUND((H77*('Employee Direct Care'!C$5*52)*G77),1)</f>
        <v>0</v>
      </c>
    </row>
    <row r="78" spans="1:12" x14ac:dyDescent="0.25">
      <c r="A78" s="6"/>
      <c r="B78" s="24" t="s">
        <v>57</v>
      </c>
      <c r="C78" s="24"/>
      <c r="D78" s="54">
        <v>0</v>
      </c>
      <c r="E78" s="19"/>
      <c r="F78" s="31"/>
      <c r="G78" s="63"/>
      <c r="H78" s="33">
        <f t="shared" si="18"/>
        <v>0</v>
      </c>
      <c r="I78" s="20">
        <f>IF(F78&gt;0,(((('Employee Direct Care'!C$5*52)*D78)*C78)*F78),0)</f>
        <v>0</v>
      </c>
      <c r="J78" s="33">
        <f t="shared" ref="J78:J81" si="19">D78-H78</f>
        <v>0</v>
      </c>
      <c r="K78" s="20">
        <f>IF(F78&gt;0,(((('Employee Direct Care'!C$5*52)*D78)*C78)-I78),(((('Employee Direct Care'!C$5*52)*D78)*C78)-I78))</f>
        <v>0</v>
      </c>
      <c r="L78" s="20">
        <f>ROUND((H78*('Employee Direct Care'!C$5*52)*G78),1)</f>
        <v>0</v>
      </c>
    </row>
    <row r="79" spans="1:12" x14ac:dyDescent="0.25">
      <c r="A79" s="6"/>
      <c r="B79" s="24" t="s">
        <v>58</v>
      </c>
      <c r="C79" s="24"/>
      <c r="D79" s="54">
        <v>0</v>
      </c>
      <c r="E79" s="19"/>
      <c r="F79" s="31"/>
      <c r="G79" s="63"/>
      <c r="H79" s="33">
        <f t="shared" si="18"/>
        <v>0</v>
      </c>
      <c r="I79" s="20">
        <f>IF(F79&gt;0,(((('Employee Direct Care'!C$5*52)*D79)*C79)*F79),0)</f>
        <v>0</v>
      </c>
      <c r="J79" s="33">
        <f t="shared" si="19"/>
        <v>0</v>
      </c>
      <c r="K79" s="20">
        <f>IF(F79&gt;0,(((('Employee Direct Care'!C$5*52)*D79)*C79)-I79),(((('Employee Direct Care'!C$5*52)*D79)*C79)-I79))</f>
        <v>0</v>
      </c>
      <c r="L79" s="20">
        <f>ROUND((H79*('Employee Direct Care'!C$5*52)*G79),1)</f>
        <v>0</v>
      </c>
    </row>
    <row r="80" spans="1:12" x14ac:dyDescent="0.25">
      <c r="A80" s="6"/>
      <c r="B80" s="24" t="s">
        <v>59</v>
      </c>
      <c r="C80" s="24"/>
      <c r="D80" s="54">
        <v>0</v>
      </c>
      <c r="E80" s="19"/>
      <c r="F80" s="31"/>
      <c r="G80" s="63"/>
      <c r="H80" s="33">
        <f t="shared" si="18"/>
        <v>0</v>
      </c>
      <c r="I80" s="20">
        <f>IF(F80&gt;0,(((('Employee Direct Care'!C$5*52)*D80)*C80)*F80),0)</f>
        <v>0</v>
      </c>
      <c r="J80" s="33">
        <f t="shared" si="19"/>
        <v>0</v>
      </c>
      <c r="K80" s="20">
        <f>IF(F80&gt;0,(((('Employee Direct Care'!C$5*52)*D80)*C80)-I80),(((('Employee Direct Care'!C$5*52)*D80)*C80)-I80))</f>
        <v>0</v>
      </c>
      <c r="L80" s="20">
        <f>ROUND((H80*('Employee Direct Care'!C$5*52)*G80),1)</f>
        <v>0</v>
      </c>
    </row>
    <row r="81" spans="1:12" x14ac:dyDescent="0.25">
      <c r="A81" s="6"/>
      <c r="B81" s="24" t="s">
        <v>60</v>
      </c>
      <c r="C81" s="24"/>
      <c r="D81" s="54">
        <v>0</v>
      </c>
      <c r="E81" s="19"/>
      <c r="F81" s="31"/>
      <c r="G81" s="63"/>
      <c r="H81" s="33">
        <f t="shared" si="18"/>
        <v>0</v>
      </c>
      <c r="I81" s="20">
        <f>IF(F81&gt;0,(((('Employee Direct Care'!C$5*52)*D81)*C81)*F81),0)</f>
        <v>0</v>
      </c>
      <c r="J81" s="33">
        <f t="shared" si="19"/>
        <v>0</v>
      </c>
      <c r="K81" s="20">
        <f>IF(F81&gt;0,(((('Employee Direct Care'!C$5*52)*D81)*C81)-I81),(((('Employee Direct Care'!C$5*52)*D81)*C81)-I81))</f>
        <v>0</v>
      </c>
      <c r="L81" s="20">
        <f>ROUND((H81*('Employee Direct Care'!C$5*52)*G81),1)</f>
        <v>0</v>
      </c>
    </row>
    <row r="82" spans="1:12" x14ac:dyDescent="0.25">
      <c r="A82" s="6"/>
      <c r="B82" s="21" t="s">
        <v>14</v>
      </c>
      <c r="C82" s="21"/>
      <c r="D82" s="56"/>
      <c r="E82" s="22"/>
      <c r="F82" s="44"/>
      <c r="G82" s="64"/>
      <c r="H82" s="22"/>
      <c r="I82" s="23"/>
      <c r="J82" s="23"/>
      <c r="K82" s="23"/>
      <c r="L82" s="23"/>
    </row>
    <row r="83" spans="1:12" x14ac:dyDescent="0.25">
      <c r="A83" s="6"/>
      <c r="B83" s="1"/>
      <c r="C83" s="1"/>
      <c r="D83" s="57"/>
      <c r="E83" s="8"/>
      <c r="F83" s="42"/>
      <c r="G83" s="58"/>
      <c r="H83" s="8"/>
      <c r="I83" s="29"/>
      <c r="J83" s="29"/>
      <c r="K83" s="16"/>
      <c r="L83" s="118"/>
    </row>
    <row r="84" spans="1:12" ht="15.75" thickBot="1" x14ac:dyDescent="0.3">
      <c r="A84" s="26">
        <v>324</v>
      </c>
      <c r="B84" s="15" t="s">
        <v>61</v>
      </c>
      <c r="C84" s="15"/>
      <c r="D84" s="55">
        <f>SUM(D85:D90)</f>
        <v>2.5</v>
      </c>
      <c r="E84" s="17"/>
      <c r="F84" s="43"/>
      <c r="G84" s="62"/>
      <c r="H84" s="34">
        <f>SUM(H85:H90)</f>
        <v>2.5</v>
      </c>
      <c r="I84" s="13">
        <f>SUM(I85:I90)</f>
        <v>234000</v>
      </c>
      <c r="J84" s="34">
        <f>SUM(J85:J90)</f>
        <v>0</v>
      </c>
      <c r="K84" s="13">
        <f>SUM(K85:K90)</f>
        <v>0</v>
      </c>
      <c r="L84" s="117">
        <f>SUM(L85:L90)</f>
        <v>4160</v>
      </c>
    </row>
    <row r="85" spans="1:12" x14ac:dyDescent="0.25">
      <c r="A85" s="6"/>
      <c r="B85" s="18" t="s">
        <v>398</v>
      </c>
      <c r="C85" s="30">
        <v>45</v>
      </c>
      <c r="D85" s="54">
        <v>2.5</v>
      </c>
      <c r="E85" s="53" t="s">
        <v>171</v>
      </c>
      <c r="F85" s="32">
        <v>1</v>
      </c>
      <c r="G85" s="63">
        <v>0.8</v>
      </c>
      <c r="H85" s="33">
        <f t="shared" ref="H85:H89" si="20">IF(D85&gt;0,D85*F85,0)</f>
        <v>2.5</v>
      </c>
      <c r="I85" s="20">
        <f>IF(F85&gt;0,(((('Employee Direct Care'!C$5*52)*D85)*C85)*F85),0)</f>
        <v>234000</v>
      </c>
      <c r="J85" s="33">
        <f>D85-H85</f>
        <v>0</v>
      </c>
      <c r="K85" s="20">
        <f>IF(F85&gt;0,(((('Employee Direct Care'!C$5*52)*D85)*C85)-I85),(((('Employee Direct Care'!C$5*52)*D85)*C85)-I85))</f>
        <v>0</v>
      </c>
      <c r="L85" s="20">
        <f>ROUND((H85*('Employee Direct Care'!C$5*52)*G85),1)</f>
        <v>4160</v>
      </c>
    </row>
    <row r="86" spans="1:12" x14ac:dyDescent="0.25">
      <c r="A86" s="6"/>
      <c r="B86" s="18" t="s">
        <v>194</v>
      </c>
      <c r="C86" s="30"/>
      <c r="D86" s="54"/>
      <c r="E86" s="31"/>
      <c r="F86" s="32"/>
      <c r="G86" s="63"/>
      <c r="H86" s="33">
        <f t="shared" si="20"/>
        <v>0</v>
      </c>
      <c r="I86" s="20">
        <f>IF(F86&gt;0,(((('Employee Direct Care'!C$5*52)*D86)*C86)*F86),0)</f>
        <v>0</v>
      </c>
      <c r="J86" s="33">
        <f t="shared" ref="J86:J89" si="21">D86-H86</f>
        <v>0</v>
      </c>
      <c r="K86" s="20">
        <f>IF(F86&gt;0,(((('Employee Direct Care'!C$5*52)*D86)*C86)-I86),(((('Employee Direct Care'!C$5*52)*D86)*C86)-I86))</f>
        <v>0</v>
      </c>
      <c r="L86" s="20">
        <f>ROUND((H86*('Employee Direct Care'!C$5*52)*G86),1)</f>
        <v>0</v>
      </c>
    </row>
    <row r="87" spans="1:12" x14ac:dyDescent="0.25">
      <c r="A87" s="6"/>
      <c r="B87" s="18" t="s">
        <v>195</v>
      </c>
      <c r="C87" s="30"/>
      <c r="D87" s="54"/>
      <c r="E87" s="31"/>
      <c r="F87" s="32"/>
      <c r="G87" s="63"/>
      <c r="H87" s="33">
        <f t="shared" si="20"/>
        <v>0</v>
      </c>
      <c r="I87" s="20">
        <f>IF(F87&gt;0,(((('Employee Direct Care'!C$5*52)*D87)*C87)*F87),0)</f>
        <v>0</v>
      </c>
      <c r="J87" s="33">
        <f t="shared" si="21"/>
        <v>0</v>
      </c>
      <c r="K87" s="20">
        <f>IF(F87&gt;0,(((('Employee Direct Care'!C$5*52)*D87)*C87)-I87),(((('Employee Direct Care'!C$5*52)*D87)*C87)-I87))</f>
        <v>0</v>
      </c>
      <c r="L87" s="20">
        <f>ROUND((H87*('Employee Direct Care'!C$5*52)*G87),1)</f>
        <v>0</v>
      </c>
    </row>
    <row r="88" spans="1:12" x14ac:dyDescent="0.25">
      <c r="A88" s="6"/>
      <c r="B88" s="18" t="s">
        <v>62</v>
      </c>
      <c r="C88" s="30"/>
      <c r="D88" s="54"/>
      <c r="E88" s="31"/>
      <c r="F88" s="32"/>
      <c r="G88" s="63"/>
      <c r="H88" s="33">
        <f t="shared" si="20"/>
        <v>0</v>
      </c>
      <c r="I88" s="20">
        <f>IF(F88&gt;0,(((('Employee Direct Care'!C$5*52)*D88)*C88)*F88),0)</f>
        <v>0</v>
      </c>
      <c r="J88" s="33">
        <f t="shared" si="21"/>
        <v>0</v>
      </c>
      <c r="K88" s="20">
        <f>IF(F88&gt;0,(((('Employee Direct Care'!C$5*52)*D88)*C88)-I88),(((('Employee Direct Care'!C$5*52)*D88)*C88)-I88))</f>
        <v>0</v>
      </c>
      <c r="L88" s="20">
        <f>ROUND((H88*('Employee Direct Care'!C$5*52)*G88),1)</f>
        <v>0</v>
      </c>
    </row>
    <row r="89" spans="1:12" x14ac:dyDescent="0.25">
      <c r="A89" s="6"/>
      <c r="B89" s="18" t="s">
        <v>63</v>
      </c>
      <c r="C89" s="30"/>
      <c r="D89" s="54">
        <v>0</v>
      </c>
      <c r="E89" s="31"/>
      <c r="F89" s="32"/>
      <c r="G89" s="63"/>
      <c r="H89" s="33">
        <f t="shared" si="20"/>
        <v>0</v>
      </c>
      <c r="I89" s="20">
        <f>IF(F89&gt;0,(((('Employee Direct Care'!C$5*52)*D89)*C89)*F89),0)</f>
        <v>0</v>
      </c>
      <c r="J89" s="33">
        <f t="shared" si="21"/>
        <v>0</v>
      </c>
      <c r="K89" s="20">
        <f>IF(F89&gt;0,(((('Employee Direct Care'!C$5*52)*D89)*C89)-I89),(((('Employee Direct Care'!C$5*52)*D89)*C89)-I89))</f>
        <v>0</v>
      </c>
      <c r="L89" s="20">
        <f>ROUND((H89*('Employee Direct Care'!C$5*52)*G89),1)</f>
        <v>0</v>
      </c>
    </row>
    <row r="90" spans="1:12" x14ac:dyDescent="0.25">
      <c r="A90" s="6"/>
      <c r="B90" s="21" t="s">
        <v>14</v>
      </c>
      <c r="C90" s="21"/>
      <c r="D90" s="56"/>
      <c r="E90" s="22"/>
      <c r="F90" s="44"/>
      <c r="G90" s="64"/>
      <c r="H90" s="22"/>
      <c r="I90" s="23"/>
      <c r="J90" s="23"/>
      <c r="K90" s="23"/>
      <c r="L90" s="23"/>
    </row>
    <row r="91" spans="1:12" x14ac:dyDescent="0.25">
      <c r="A91" s="27"/>
      <c r="B91" s="1"/>
      <c r="C91" s="1"/>
      <c r="D91" s="57"/>
      <c r="E91" s="8"/>
      <c r="F91" s="42"/>
      <c r="G91" s="58"/>
      <c r="H91" s="8"/>
      <c r="I91" s="29"/>
      <c r="J91" s="29"/>
      <c r="K91" s="16"/>
      <c r="L91" s="118"/>
    </row>
    <row r="92" spans="1:12" ht="15.75" thickBot="1" x14ac:dyDescent="0.3">
      <c r="A92" s="14">
        <v>325</v>
      </c>
      <c r="B92" s="25" t="s">
        <v>64</v>
      </c>
      <c r="C92" s="25"/>
      <c r="D92" s="55">
        <f>SUM(D93:D98)</f>
        <v>0</v>
      </c>
      <c r="E92" s="17"/>
      <c r="F92" s="43"/>
      <c r="G92" s="62"/>
      <c r="H92" s="34">
        <f>SUM(H93:H98)</f>
        <v>0</v>
      </c>
      <c r="I92" s="13">
        <f>SUM(I93:I98)</f>
        <v>0</v>
      </c>
      <c r="J92" s="34">
        <f>SUM(J93:J98)</f>
        <v>0</v>
      </c>
      <c r="K92" s="13">
        <f>SUM(K93:K98)</f>
        <v>0</v>
      </c>
      <c r="L92" s="117">
        <f>SUM(L93:L98)</f>
        <v>0</v>
      </c>
    </row>
    <row r="93" spans="1:12" x14ac:dyDescent="0.25">
      <c r="A93" s="6"/>
      <c r="B93" s="18" t="s">
        <v>65</v>
      </c>
      <c r="C93" s="30"/>
      <c r="D93" s="54">
        <v>0</v>
      </c>
      <c r="E93" s="31"/>
      <c r="F93" s="32"/>
      <c r="G93" s="63"/>
      <c r="H93" s="33">
        <f t="shared" ref="H93:H97" si="22">IF(D93&gt;0,D93*F93,0)</f>
        <v>0</v>
      </c>
      <c r="I93" s="20">
        <f>IF(F93&gt;0,(((('Employee Direct Care'!C$5*52)*D93)*C93)*F93),0)</f>
        <v>0</v>
      </c>
      <c r="J93" s="33">
        <f>D93-H93</f>
        <v>0</v>
      </c>
      <c r="K93" s="20">
        <f>IF(F93&gt;0,(((('Employee Direct Care'!C$5*52)*D93)*C93)-I93),(((('Employee Direct Care'!C$5*52)*D93)*C93)-I93))</f>
        <v>0</v>
      </c>
      <c r="L93" s="20">
        <f>ROUND((H93*('Employee Direct Care'!C$5*52)*G93),1)</f>
        <v>0</v>
      </c>
    </row>
    <row r="94" spans="1:12" x14ac:dyDescent="0.25">
      <c r="A94" s="6"/>
      <c r="B94" s="18" t="s">
        <v>66</v>
      </c>
      <c r="C94" s="30"/>
      <c r="D94" s="54">
        <v>0</v>
      </c>
      <c r="E94" s="31"/>
      <c r="F94" s="32"/>
      <c r="G94" s="63"/>
      <c r="H94" s="33">
        <f t="shared" si="22"/>
        <v>0</v>
      </c>
      <c r="I94" s="20">
        <f>IF(F94&gt;0,(((('Employee Direct Care'!C$5*52)*D94)*C94)*F94),0)</f>
        <v>0</v>
      </c>
      <c r="J94" s="33">
        <f t="shared" ref="J94:J97" si="23">D94-H94</f>
        <v>0</v>
      </c>
      <c r="K94" s="20">
        <f>IF(F94&gt;0,(((('Employee Direct Care'!C$5*52)*D94)*C94)-I94),(((('Employee Direct Care'!C$5*52)*D94)*C94)-I94))</f>
        <v>0</v>
      </c>
      <c r="L94" s="20">
        <f>ROUND((H94*('Employee Direct Care'!C$5*52)*G94),1)</f>
        <v>0</v>
      </c>
    </row>
    <row r="95" spans="1:12" x14ac:dyDescent="0.25">
      <c r="A95" s="6"/>
      <c r="B95" s="18" t="s">
        <v>67</v>
      </c>
      <c r="C95" s="30"/>
      <c r="D95" s="54">
        <v>0</v>
      </c>
      <c r="E95" s="19"/>
      <c r="F95" s="32"/>
      <c r="G95" s="63"/>
      <c r="H95" s="33">
        <f t="shared" si="22"/>
        <v>0</v>
      </c>
      <c r="I95" s="20">
        <f>IF(F95&gt;0,(((('Employee Direct Care'!C$5*52)*D95)*C95)*F95),0)</f>
        <v>0</v>
      </c>
      <c r="J95" s="33">
        <f t="shared" si="23"/>
        <v>0</v>
      </c>
      <c r="K95" s="20">
        <f>IF(F95&gt;0,(((('Employee Direct Care'!C$5*52)*D95)*C95)-I95),(((('Employee Direct Care'!C$5*52)*D95)*C95)-I95))</f>
        <v>0</v>
      </c>
      <c r="L95" s="20">
        <f>ROUND((H95*('Employee Direct Care'!C$5*52)*G95),1)</f>
        <v>0</v>
      </c>
    </row>
    <row r="96" spans="1:12" x14ac:dyDescent="0.25">
      <c r="A96" s="6"/>
      <c r="B96" s="18" t="s">
        <v>68</v>
      </c>
      <c r="C96" s="30"/>
      <c r="D96" s="54">
        <v>0</v>
      </c>
      <c r="E96" s="19"/>
      <c r="F96" s="32"/>
      <c r="G96" s="63"/>
      <c r="H96" s="33">
        <f t="shared" si="22"/>
        <v>0</v>
      </c>
      <c r="I96" s="20">
        <f>IF(F96&gt;0,(((('Employee Direct Care'!C$5*52)*D96)*C96)*F96),0)</f>
        <v>0</v>
      </c>
      <c r="J96" s="33">
        <f t="shared" si="23"/>
        <v>0</v>
      </c>
      <c r="K96" s="20">
        <f>IF(F96&gt;0,(((('Employee Direct Care'!C$5*52)*D96)*C96)-I96),(((('Employee Direct Care'!C$5*52)*D96)*C96)-I96))</f>
        <v>0</v>
      </c>
      <c r="L96" s="20">
        <f>ROUND((H96*('Employee Direct Care'!C$5*52)*G96),1)</f>
        <v>0</v>
      </c>
    </row>
    <row r="97" spans="1:12" x14ac:dyDescent="0.25">
      <c r="A97" s="6"/>
      <c r="B97" s="18" t="s">
        <v>69</v>
      </c>
      <c r="C97" s="30"/>
      <c r="D97" s="54">
        <v>0</v>
      </c>
      <c r="E97" s="19"/>
      <c r="F97" s="32"/>
      <c r="G97" s="63"/>
      <c r="H97" s="33">
        <f t="shared" si="22"/>
        <v>0</v>
      </c>
      <c r="I97" s="20">
        <f>IF(F97&gt;0,(((('Employee Direct Care'!C$5*52)*D97)*C97)*F97),0)</f>
        <v>0</v>
      </c>
      <c r="J97" s="33">
        <f t="shared" si="23"/>
        <v>0</v>
      </c>
      <c r="K97" s="20">
        <f>IF(F97&gt;0,(((('Employee Direct Care'!C$5*52)*D97)*C97)-I97),(((('Employee Direct Care'!C$5*52)*D97)*C97)-I97))</f>
        <v>0</v>
      </c>
      <c r="L97" s="20">
        <f>ROUND((H97*('Employee Direct Care'!C$5*52)*G97),1)</f>
        <v>0</v>
      </c>
    </row>
    <row r="98" spans="1:12" x14ac:dyDescent="0.25">
      <c r="A98" s="6"/>
      <c r="B98" s="21" t="s">
        <v>14</v>
      </c>
      <c r="C98" s="21"/>
      <c r="D98" s="56"/>
      <c r="E98" s="22"/>
      <c r="F98" s="44"/>
      <c r="G98" s="64"/>
      <c r="H98" s="22"/>
      <c r="I98" s="23"/>
      <c r="J98" s="23"/>
      <c r="K98" s="23"/>
      <c r="L98" s="23"/>
    </row>
    <row r="99" spans="1:12" x14ac:dyDescent="0.25">
      <c r="A99" s="6"/>
      <c r="B99" s="1"/>
      <c r="C99" s="1"/>
      <c r="D99" s="57"/>
      <c r="E99" s="8"/>
      <c r="F99" s="42"/>
      <c r="G99" s="58"/>
      <c r="H99" s="8"/>
      <c r="I99" s="29"/>
      <c r="J99" s="29"/>
      <c r="K99" s="16"/>
      <c r="L99" s="118"/>
    </row>
    <row r="100" spans="1:12" ht="15.75" thickBot="1" x14ac:dyDescent="0.3">
      <c r="A100" s="14" t="s">
        <v>70</v>
      </c>
      <c r="B100" s="15" t="s">
        <v>71</v>
      </c>
      <c r="C100" s="15"/>
      <c r="D100" s="55">
        <f>SUM(D101:D106)</f>
        <v>0</v>
      </c>
      <c r="E100" s="17"/>
      <c r="F100" s="43"/>
      <c r="G100" s="62"/>
      <c r="H100" s="34">
        <f>SUM(H101:H106)</f>
        <v>0</v>
      </c>
      <c r="I100" s="13">
        <f>SUM(I101:I106)</f>
        <v>0</v>
      </c>
      <c r="J100" s="34">
        <f>SUM(J101:J106)</f>
        <v>0</v>
      </c>
      <c r="K100" s="13">
        <f>SUM(K101:K106)</f>
        <v>0</v>
      </c>
      <c r="L100" s="117">
        <f>SUM(L101:L106)</f>
        <v>0</v>
      </c>
    </row>
    <row r="101" spans="1:12" x14ac:dyDescent="0.25">
      <c r="A101" s="6"/>
      <c r="B101" s="18" t="s">
        <v>72</v>
      </c>
      <c r="C101" s="30"/>
      <c r="D101" s="54">
        <v>0</v>
      </c>
      <c r="E101" s="31"/>
      <c r="F101" s="32"/>
      <c r="G101" s="63"/>
      <c r="H101" s="33">
        <f t="shared" ref="H101:H105" si="24">IF(D101&gt;0,D101*F101,0)</f>
        <v>0</v>
      </c>
      <c r="I101" s="20">
        <f>IF(F101&gt;0,(((('Employee Direct Care'!C$5*52)*D101)*C101)*F101),0)</f>
        <v>0</v>
      </c>
      <c r="J101" s="33">
        <f>D101-H101</f>
        <v>0</v>
      </c>
      <c r="K101" s="20">
        <f>IF(F101&gt;0,(((('Employee Direct Care'!C$5*52)*D101)*C101)-I101),(((('Employee Direct Care'!C$5*52)*D101)*C101)-I101))</f>
        <v>0</v>
      </c>
      <c r="L101" s="20">
        <f>ROUND((H101*('Employee Direct Care'!C$5*52)*G101),1)</f>
        <v>0</v>
      </c>
    </row>
    <row r="102" spans="1:12" x14ac:dyDescent="0.25">
      <c r="A102" s="6"/>
      <c r="B102" s="18" t="s">
        <v>73</v>
      </c>
      <c r="C102" s="30"/>
      <c r="D102" s="54">
        <v>0</v>
      </c>
      <c r="E102" s="31"/>
      <c r="F102" s="32"/>
      <c r="G102" s="63"/>
      <c r="H102" s="33">
        <f t="shared" si="24"/>
        <v>0</v>
      </c>
      <c r="I102" s="20">
        <f>IF(F102&gt;0,(((('Employee Direct Care'!C$5*52)*D102)*C102)*F102),0)</f>
        <v>0</v>
      </c>
      <c r="J102" s="33">
        <f t="shared" ref="J102:J105" si="25">D102-H102</f>
        <v>0</v>
      </c>
      <c r="K102" s="20">
        <f>IF(F102&gt;0,(((('Employee Direct Care'!C$5*52)*D102)*C102)-I102),(((('Employee Direct Care'!C$5*52)*D102)*C102)-I102))</f>
        <v>0</v>
      </c>
      <c r="L102" s="20">
        <f>ROUND((H102*('Employee Direct Care'!C$5*52)*G102),1)</f>
        <v>0</v>
      </c>
    </row>
    <row r="103" spans="1:12" x14ac:dyDescent="0.25">
      <c r="A103" s="6"/>
      <c r="B103" s="18" t="s">
        <v>74</v>
      </c>
      <c r="C103" s="30"/>
      <c r="D103" s="54">
        <v>0</v>
      </c>
      <c r="E103" s="19"/>
      <c r="F103" s="32"/>
      <c r="G103" s="63"/>
      <c r="H103" s="33">
        <f t="shared" si="24"/>
        <v>0</v>
      </c>
      <c r="I103" s="20">
        <f>IF(F103&gt;0,(((('Employee Direct Care'!C$5*52)*D103)*C103)*F103),0)</f>
        <v>0</v>
      </c>
      <c r="J103" s="33">
        <f t="shared" si="25"/>
        <v>0</v>
      </c>
      <c r="K103" s="20">
        <f>IF(F103&gt;0,(((('Employee Direct Care'!C$5*52)*D103)*C103)-I103),(((('Employee Direct Care'!C$5*52)*D103)*C103)-I103))</f>
        <v>0</v>
      </c>
      <c r="L103" s="20">
        <f>ROUND((H103*('Employee Direct Care'!C$5*52)*G103),1)</f>
        <v>0</v>
      </c>
    </row>
    <row r="104" spans="1:12" x14ac:dyDescent="0.25">
      <c r="A104" s="6" t="s">
        <v>3</v>
      </c>
      <c r="B104" s="18" t="s">
        <v>75</v>
      </c>
      <c r="C104" s="30"/>
      <c r="D104" s="54">
        <v>0</v>
      </c>
      <c r="E104" s="19"/>
      <c r="F104" s="32"/>
      <c r="G104" s="63"/>
      <c r="H104" s="33">
        <f t="shared" si="24"/>
        <v>0</v>
      </c>
      <c r="I104" s="20">
        <f>IF(F104&gt;0,(((('Employee Direct Care'!C$5*52)*D104)*C104)*F104),0)</f>
        <v>0</v>
      </c>
      <c r="J104" s="33">
        <f t="shared" si="25"/>
        <v>0</v>
      </c>
      <c r="K104" s="20">
        <f>IF(F104&gt;0,(((('Employee Direct Care'!C$5*52)*D104)*C104)-I104),(((('Employee Direct Care'!C$5*52)*D104)*C104)-I104))</f>
        <v>0</v>
      </c>
      <c r="L104" s="20">
        <f>ROUND((H104*('Employee Direct Care'!C$5*52)*G104),1)</f>
        <v>0</v>
      </c>
    </row>
    <row r="105" spans="1:12" x14ac:dyDescent="0.25">
      <c r="A105" s="6"/>
      <c r="B105" s="18" t="s">
        <v>76</v>
      </c>
      <c r="C105" s="30"/>
      <c r="D105" s="54">
        <v>0</v>
      </c>
      <c r="E105" s="19"/>
      <c r="F105" s="32"/>
      <c r="G105" s="63"/>
      <c r="H105" s="33">
        <f t="shared" si="24"/>
        <v>0</v>
      </c>
      <c r="I105" s="20">
        <f>IF(F105&gt;0,(((('Employee Direct Care'!C$5*52)*D105)*C105)*F105),0)</f>
        <v>0</v>
      </c>
      <c r="J105" s="33">
        <f t="shared" si="25"/>
        <v>0</v>
      </c>
      <c r="K105" s="20">
        <f>IF(F105&gt;0,(((('Employee Direct Care'!C$5*52)*D105)*C105)-I105),(((('Employee Direct Care'!C$5*52)*D105)*C105)-I105))</f>
        <v>0</v>
      </c>
      <c r="L105" s="20">
        <f>ROUND((H105*('Employee Direct Care'!C$5*52)*G105),1)</f>
        <v>0</v>
      </c>
    </row>
    <row r="106" spans="1:12" x14ac:dyDescent="0.25">
      <c r="A106" s="6"/>
      <c r="B106" s="21" t="s">
        <v>14</v>
      </c>
      <c r="C106" s="21"/>
      <c r="D106" s="56"/>
      <c r="E106" s="22"/>
      <c r="F106" s="44"/>
      <c r="G106" s="64"/>
      <c r="H106" s="22"/>
      <c r="I106" s="23"/>
      <c r="J106" s="23"/>
      <c r="K106" s="23"/>
      <c r="L106" s="23"/>
    </row>
    <row r="107" spans="1:12" x14ac:dyDescent="0.25">
      <c r="A107" s="6"/>
      <c r="B107" s="1"/>
      <c r="C107" s="1"/>
      <c r="D107" s="57"/>
      <c r="E107" s="8"/>
      <c r="F107" s="42"/>
      <c r="G107" s="58"/>
      <c r="H107" s="8"/>
      <c r="I107" s="29"/>
      <c r="J107" s="29"/>
      <c r="K107" s="16"/>
      <c r="L107" s="118"/>
    </row>
    <row r="108" spans="1:12" ht="15.75" thickBot="1" x14ac:dyDescent="0.3">
      <c r="A108" s="14" t="s">
        <v>70</v>
      </c>
      <c r="B108" s="15" t="s">
        <v>77</v>
      </c>
      <c r="C108" s="15"/>
      <c r="D108" s="55">
        <f>SUM(D109:D114)</f>
        <v>0</v>
      </c>
      <c r="E108" s="17"/>
      <c r="F108" s="43"/>
      <c r="G108" s="62"/>
      <c r="H108" s="34">
        <f>SUM(H109:H114)</f>
        <v>0</v>
      </c>
      <c r="I108" s="13">
        <f>SUM(I109:I114)</f>
        <v>0</v>
      </c>
      <c r="J108" s="34">
        <f>SUM(J109:J114)</f>
        <v>0</v>
      </c>
      <c r="K108" s="13">
        <f>SUM(K109:K114)</f>
        <v>0</v>
      </c>
      <c r="L108" s="117">
        <f>SUM(L109:L114)</f>
        <v>0</v>
      </c>
    </row>
    <row r="109" spans="1:12" x14ac:dyDescent="0.25">
      <c r="A109" s="6"/>
      <c r="B109" s="18" t="s">
        <v>196</v>
      </c>
      <c r="C109" s="30"/>
      <c r="D109" s="54">
        <v>0</v>
      </c>
      <c r="E109" s="31"/>
      <c r="F109" s="32"/>
      <c r="G109" s="63"/>
      <c r="H109" s="33">
        <f t="shared" ref="H109:H113" si="26">IF(D109&gt;0,D109*F109,0)</f>
        <v>0</v>
      </c>
      <c r="I109" s="20">
        <f>IF(F109&gt;0,(((('Employee Direct Care'!C$5*52)*D109)*C109)*F109),0)</f>
        <v>0</v>
      </c>
      <c r="J109" s="33">
        <f>D109-H109</f>
        <v>0</v>
      </c>
      <c r="K109" s="20">
        <f>IF(F109&gt;0,(((('Employee Direct Care'!C$5*52)*D109)*C109)-I109),(((('Employee Direct Care'!C$5*52)*D109)*C109)-I109))</f>
        <v>0</v>
      </c>
      <c r="L109" s="20">
        <f>ROUND((H109*('Employee Direct Care'!C$5*52)*G109),1)</f>
        <v>0</v>
      </c>
    </row>
    <row r="110" spans="1:12" x14ac:dyDescent="0.25">
      <c r="A110" s="6"/>
      <c r="B110" s="18" t="s">
        <v>78</v>
      </c>
      <c r="C110" s="30"/>
      <c r="D110" s="54">
        <v>0</v>
      </c>
      <c r="E110" s="31"/>
      <c r="F110" s="32"/>
      <c r="G110" s="63"/>
      <c r="H110" s="33">
        <f t="shared" si="26"/>
        <v>0</v>
      </c>
      <c r="I110" s="20">
        <f>IF(F110&gt;0,(((('Employee Direct Care'!C$5*52)*D110)*C110)*F110),0)</f>
        <v>0</v>
      </c>
      <c r="J110" s="33">
        <f t="shared" ref="J110:J113" si="27">D110-H110</f>
        <v>0</v>
      </c>
      <c r="K110" s="20">
        <f>IF(F110&gt;0,(((('Employee Direct Care'!C$5*52)*D110)*C110)-I110),(((('Employee Direct Care'!C$5*52)*D110)*C110)-I110))</f>
        <v>0</v>
      </c>
      <c r="L110" s="20">
        <f>ROUND((H110*('Employee Direct Care'!C$5*52)*G110),1)</f>
        <v>0</v>
      </c>
    </row>
    <row r="111" spans="1:12" x14ac:dyDescent="0.25">
      <c r="A111" s="6"/>
      <c r="B111" s="18" t="s">
        <v>79</v>
      </c>
      <c r="C111" s="30"/>
      <c r="D111" s="54">
        <v>0</v>
      </c>
      <c r="E111" s="19"/>
      <c r="F111" s="32"/>
      <c r="G111" s="63"/>
      <c r="H111" s="33">
        <f t="shared" si="26"/>
        <v>0</v>
      </c>
      <c r="I111" s="20">
        <f>IF(F111&gt;0,(((('Employee Direct Care'!C$5*52)*D111)*C111)*F111),0)</f>
        <v>0</v>
      </c>
      <c r="J111" s="33">
        <f t="shared" si="27"/>
        <v>0</v>
      </c>
      <c r="K111" s="20">
        <f>IF(F111&gt;0,(((('Employee Direct Care'!C$5*52)*D111)*C111)-I111),(((('Employee Direct Care'!C$5*52)*D111)*C111)-I111))</f>
        <v>0</v>
      </c>
      <c r="L111" s="20">
        <f>ROUND((H111*('Employee Direct Care'!C$5*52)*G111),1)</f>
        <v>0</v>
      </c>
    </row>
    <row r="112" spans="1:12" x14ac:dyDescent="0.25">
      <c r="A112" s="6" t="s">
        <v>3</v>
      </c>
      <c r="B112" s="18" t="s">
        <v>80</v>
      </c>
      <c r="C112" s="30"/>
      <c r="D112" s="54">
        <v>0</v>
      </c>
      <c r="E112" s="19"/>
      <c r="F112" s="32"/>
      <c r="G112" s="63"/>
      <c r="H112" s="33">
        <f t="shared" si="26"/>
        <v>0</v>
      </c>
      <c r="I112" s="20">
        <f>IF(F112&gt;0,(((('Employee Direct Care'!C$5*52)*D112)*C112)*F112),0)</f>
        <v>0</v>
      </c>
      <c r="J112" s="33">
        <f t="shared" si="27"/>
        <v>0</v>
      </c>
      <c r="K112" s="20">
        <f>IF(F112&gt;0,(((('Employee Direct Care'!C$5*52)*D112)*C112)-I112),(((('Employee Direct Care'!C$5*52)*D112)*C112)-I112))</f>
        <v>0</v>
      </c>
      <c r="L112" s="20">
        <f>ROUND((H112*('Employee Direct Care'!C$5*52)*G112),1)</f>
        <v>0</v>
      </c>
    </row>
    <row r="113" spans="1:12" x14ac:dyDescent="0.25">
      <c r="A113" s="6"/>
      <c r="B113" s="18" t="s">
        <v>81</v>
      </c>
      <c r="C113" s="30"/>
      <c r="D113" s="54">
        <v>0</v>
      </c>
      <c r="E113" s="19"/>
      <c r="F113" s="32"/>
      <c r="G113" s="63"/>
      <c r="H113" s="33">
        <f t="shared" si="26"/>
        <v>0</v>
      </c>
      <c r="I113" s="20">
        <f>IF(F113&gt;0,(((('Employee Direct Care'!C$5*52)*D113)*C113)*F113),0)</f>
        <v>0</v>
      </c>
      <c r="J113" s="33">
        <f t="shared" si="27"/>
        <v>0</v>
      </c>
      <c r="K113" s="20">
        <f>IF(F113&gt;0,(((('Employee Direct Care'!C$5*52)*D113)*C113)-I113),(((('Employee Direct Care'!C$5*52)*D113)*C113)-I113))</f>
        <v>0</v>
      </c>
      <c r="L113" s="20">
        <f>ROUND((H113*('Employee Direct Care'!C$5*52)*G113),1)</f>
        <v>0</v>
      </c>
    </row>
    <row r="114" spans="1:12" x14ac:dyDescent="0.25">
      <c r="A114" s="6"/>
      <c r="B114" s="21" t="s">
        <v>14</v>
      </c>
      <c r="C114" s="21"/>
      <c r="D114" s="56"/>
      <c r="E114" s="22"/>
      <c r="F114" s="44"/>
      <c r="G114" s="64"/>
      <c r="H114" s="22"/>
      <c r="I114" s="23"/>
      <c r="J114" s="23"/>
      <c r="K114" s="23"/>
      <c r="L114" s="23"/>
    </row>
    <row r="115" spans="1:12" x14ac:dyDescent="0.25">
      <c r="A115" s="6"/>
      <c r="B115" s="1"/>
      <c r="C115" s="1"/>
      <c r="D115" s="57"/>
      <c r="E115" s="8"/>
      <c r="F115" s="42"/>
      <c r="G115" s="58"/>
      <c r="H115" s="8"/>
      <c r="I115" s="29"/>
      <c r="J115" s="29"/>
      <c r="K115" s="16"/>
      <c r="L115" s="118"/>
    </row>
    <row r="116" spans="1:12" ht="15.75" thickBot="1" x14ac:dyDescent="0.3">
      <c r="A116" s="14" t="s">
        <v>70</v>
      </c>
      <c r="B116" s="15" t="s">
        <v>82</v>
      </c>
      <c r="C116" s="15"/>
      <c r="D116" s="55">
        <f>SUM(D117:D122)</f>
        <v>0</v>
      </c>
      <c r="E116" s="17"/>
      <c r="F116" s="43"/>
      <c r="G116" s="62"/>
      <c r="H116" s="34">
        <f>SUM(H117:H122)</f>
        <v>0</v>
      </c>
      <c r="I116" s="13">
        <f>SUM(I117:I122)</f>
        <v>0</v>
      </c>
      <c r="J116" s="34">
        <f>SUM(J117:J122)</f>
        <v>0</v>
      </c>
      <c r="K116" s="13">
        <f>SUM(K117:K122)</f>
        <v>0</v>
      </c>
      <c r="L116" s="117">
        <f>SUM(L117:L122)</f>
        <v>0</v>
      </c>
    </row>
    <row r="117" spans="1:12" x14ac:dyDescent="0.25">
      <c r="A117" s="27"/>
      <c r="B117" s="18" t="s">
        <v>83</v>
      </c>
      <c r="C117" s="30"/>
      <c r="D117" s="54">
        <v>0</v>
      </c>
      <c r="E117" s="31"/>
      <c r="F117" s="32"/>
      <c r="G117" s="63"/>
      <c r="H117" s="33">
        <f t="shared" ref="H117:H121" si="28">IF(D117&gt;0,D117*F117,0)</f>
        <v>0</v>
      </c>
      <c r="I117" s="20">
        <f>IF(F117&gt;0,(((('Employee Direct Care'!C$5*52)*D117)*C117)*F117),0)</f>
        <v>0</v>
      </c>
      <c r="J117" s="33">
        <f>D117-H117</f>
        <v>0</v>
      </c>
      <c r="K117" s="20">
        <f>IF(F117&gt;0,(((('Employee Direct Care'!C$5*52)*D117)*C117)-I117),(((('Employee Direct Care'!C$5*52)*D117)*C117)-I117))</f>
        <v>0</v>
      </c>
      <c r="L117" s="20">
        <f>ROUND((H117*('Employee Direct Care'!C$5*52)*G117),1)</f>
        <v>0</v>
      </c>
    </row>
    <row r="118" spans="1:12" x14ac:dyDescent="0.25">
      <c r="A118" s="27"/>
      <c r="B118" s="18" t="s">
        <v>84</v>
      </c>
      <c r="C118" s="18"/>
      <c r="D118" s="54">
        <v>0</v>
      </c>
      <c r="E118" s="19"/>
      <c r="F118" s="31"/>
      <c r="G118" s="63"/>
      <c r="H118" s="33">
        <f t="shared" si="28"/>
        <v>0</v>
      </c>
      <c r="I118" s="20">
        <f>IF(F118&gt;0,(((('Employee Direct Care'!C$5*52)*D118)*C118)*F118),0)</f>
        <v>0</v>
      </c>
      <c r="J118" s="33">
        <f t="shared" ref="J118:J121" si="29">D118-H118</f>
        <v>0</v>
      </c>
      <c r="K118" s="20">
        <f>IF(F118&gt;0,(((('Employee Direct Care'!C$5*52)*D118)*C118)-I118),(((('Employee Direct Care'!C$5*52)*D118)*C118)-I118))</f>
        <v>0</v>
      </c>
      <c r="L118" s="20">
        <f>ROUND((H118*('Employee Direct Care'!C$5*52)*G118),1)</f>
        <v>0</v>
      </c>
    </row>
    <row r="119" spans="1:12" x14ac:dyDescent="0.25">
      <c r="A119" s="27"/>
      <c r="B119" s="18" t="s">
        <v>85</v>
      </c>
      <c r="C119" s="18"/>
      <c r="D119" s="54">
        <v>0</v>
      </c>
      <c r="E119" s="19"/>
      <c r="F119" s="31"/>
      <c r="G119" s="63"/>
      <c r="H119" s="33">
        <f t="shared" si="28"/>
        <v>0</v>
      </c>
      <c r="I119" s="20">
        <f>IF(F119&gt;0,(((('Employee Direct Care'!C$5*52)*D119)*C119)*F119),0)</f>
        <v>0</v>
      </c>
      <c r="J119" s="33">
        <f t="shared" si="29"/>
        <v>0</v>
      </c>
      <c r="K119" s="20">
        <f>IF(F119&gt;0,(((('Employee Direct Care'!C$5*52)*D119)*C119)-I119),(((('Employee Direct Care'!C$5*52)*D119)*C119)-I119))</f>
        <v>0</v>
      </c>
      <c r="L119" s="20">
        <f>ROUND((H119*('Employee Direct Care'!C$5*52)*G119),1)</f>
        <v>0</v>
      </c>
    </row>
    <row r="120" spans="1:12" x14ac:dyDescent="0.25">
      <c r="A120" s="28" t="s">
        <v>3</v>
      </c>
      <c r="B120" s="18" t="s">
        <v>86</v>
      </c>
      <c r="C120" s="18"/>
      <c r="D120" s="54">
        <v>0</v>
      </c>
      <c r="E120" s="19"/>
      <c r="F120" s="31"/>
      <c r="G120" s="63"/>
      <c r="H120" s="33">
        <f t="shared" si="28"/>
        <v>0</v>
      </c>
      <c r="I120" s="20">
        <f>IF(F120&gt;0,(((('Employee Direct Care'!C$5*52)*D120)*C120)*F120),0)</f>
        <v>0</v>
      </c>
      <c r="J120" s="33">
        <f t="shared" si="29"/>
        <v>0</v>
      </c>
      <c r="K120" s="20">
        <f>IF(F120&gt;0,(((('Employee Direct Care'!C$5*52)*D120)*C120)-I120),(((('Employee Direct Care'!C$5*52)*D120)*C120)-I120))</f>
        <v>0</v>
      </c>
      <c r="L120" s="20">
        <f>ROUND((H120*('Employee Direct Care'!C$5*52)*G120),1)</f>
        <v>0</v>
      </c>
    </row>
    <row r="121" spans="1:12" x14ac:dyDescent="0.25">
      <c r="A121" s="28"/>
      <c r="B121" s="18" t="s">
        <v>87</v>
      </c>
      <c r="C121" s="18"/>
      <c r="D121" s="54">
        <v>0</v>
      </c>
      <c r="E121" s="19"/>
      <c r="F121" s="31"/>
      <c r="G121" s="63"/>
      <c r="H121" s="33">
        <f t="shared" si="28"/>
        <v>0</v>
      </c>
      <c r="I121" s="20">
        <f>IF(F121&gt;0,(((('Employee Direct Care'!C$5*52)*D121)*C121)*F121),0)</f>
        <v>0</v>
      </c>
      <c r="J121" s="33">
        <f t="shared" si="29"/>
        <v>0</v>
      </c>
      <c r="K121" s="20">
        <f>IF(F121&gt;0,(((('Employee Direct Care'!C$5*52)*D121)*C121)-I121),(((('Employee Direct Care'!C$5*52)*D121)*C121)-I121))</f>
        <v>0</v>
      </c>
      <c r="L121" s="20">
        <f>ROUND((H121*('Employee Direct Care'!C$5*52)*G121),1)</f>
        <v>0</v>
      </c>
    </row>
    <row r="122" spans="1:12" x14ac:dyDescent="0.25">
      <c r="A122" s="6"/>
      <c r="B122" s="21" t="s">
        <v>14</v>
      </c>
      <c r="C122" s="21"/>
      <c r="D122" s="56"/>
      <c r="E122" s="22"/>
      <c r="F122" s="44"/>
      <c r="G122" s="64"/>
      <c r="H122" s="22"/>
      <c r="I122" s="23"/>
      <c r="J122" s="23"/>
      <c r="K122" s="23"/>
      <c r="L122" s="23"/>
    </row>
    <row r="123" spans="1:12" x14ac:dyDescent="0.25">
      <c r="A123" s="6"/>
      <c r="B123" s="1"/>
      <c r="C123" s="1"/>
      <c r="D123" s="57"/>
      <c r="E123" s="8"/>
      <c r="F123" s="42"/>
      <c r="G123" s="58"/>
      <c r="H123" s="8"/>
      <c r="I123" s="29"/>
      <c r="J123" s="29"/>
      <c r="K123" s="16"/>
      <c r="L123" s="118"/>
    </row>
    <row r="124" spans="1:12" ht="15.75" thickBot="1" x14ac:dyDescent="0.3">
      <c r="A124" s="14" t="s">
        <v>70</v>
      </c>
      <c r="B124" s="15" t="s">
        <v>88</v>
      </c>
      <c r="C124" s="15"/>
      <c r="D124" s="55">
        <f>SUM(D125:D130)</f>
        <v>0</v>
      </c>
      <c r="E124" s="17"/>
      <c r="F124" s="43"/>
      <c r="G124" s="62"/>
      <c r="H124" s="34">
        <f>SUM(H125:H130)</f>
        <v>0</v>
      </c>
      <c r="I124" s="13">
        <f>SUM(I125:I130)</f>
        <v>0</v>
      </c>
      <c r="J124" s="34">
        <f>SUM(J125:J130)</f>
        <v>0</v>
      </c>
      <c r="K124" s="13">
        <f>SUM(K125:K130)</f>
        <v>0</v>
      </c>
      <c r="L124" s="117">
        <f>SUM(L125:L130)</f>
        <v>0</v>
      </c>
    </row>
    <row r="125" spans="1:12" x14ac:dyDescent="0.25">
      <c r="A125" s="27"/>
      <c r="B125" s="18" t="s">
        <v>89</v>
      </c>
      <c r="C125" s="30"/>
      <c r="D125" s="54">
        <v>0</v>
      </c>
      <c r="E125" s="31"/>
      <c r="F125" s="32"/>
      <c r="G125" s="63"/>
      <c r="H125" s="33">
        <f t="shared" ref="H125:H129" si="30">IF(D125&gt;0,D125*F125,0)</f>
        <v>0</v>
      </c>
      <c r="I125" s="20">
        <f>IF(F125&gt;0,(((('Employee Direct Care'!C$5*52)*D125)*C125)*F125),0)</f>
        <v>0</v>
      </c>
      <c r="J125" s="33">
        <f>D125-H125</f>
        <v>0</v>
      </c>
      <c r="K125" s="20">
        <f>IF(F125&gt;0,(((('Employee Direct Care'!C$5*52)*D125)*C125)-I125),(((('Employee Direct Care'!C$5*52)*D125)*C125)-I125))</f>
        <v>0</v>
      </c>
      <c r="L125" s="20">
        <f>ROUND((H125*('Employee Direct Care'!C$5*52)*G125),1)</f>
        <v>0</v>
      </c>
    </row>
    <row r="126" spans="1:12" x14ac:dyDescent="0.25">
      <c r="A126" s="27"/>
      <c r="B126" s="18" t="s">
        <v>90</v>
      </c>
      <c r="C126" s="18"/>
      <c r="D126" s="54">
        <v>0</v>
      </c>
      <c r="E126" s="19"/>
      <c r="F126" s="31"/>
      <c r="G126" s="63"/>
      <c r="H126" s="33">
        <f t="shared" si="30"/>
        <v>0</v>
      </c>
      <c r="I126" s="20">
        <f>IF(F126&gt;0,(((('Employee Direct Care'!C$5*52)*D126)*C126)*F126),0)</f>
        <v>0</v>
      </c>
      <c r="J126" s="33">
        <f t="shared" ref="J126:J129" si="31">D126-H126</f>
        <v>0</v>
      </c>
      <c r="K126" s="20">
        <f>IF(F126&gt;0,(((('Employee Direct Care'!C$5*52)*D126)*C126)-I126),(((('Employee Direct Care'!C$5*52)*D126)*C126)-I126))</f>
        <v>0</v>
      </c>
      <c r="L126" s="20">
        <f>ROUND((H126*('Employee Direct Care'!C$5*52)*G126),1)</f>
        <v>0</v>
      </c>
    </row>
    <row r="127" spans="1:12" x14ac:dyDescent="0.25">
      <c r="A127" s="27"/>
      <c r="B127" s="18" t="s">
        <v>91</v>
      </c>
      <c r="C127" s="18"/>
      <c r="D127" s="54">
        <v>0</v>
      </c>
      <c r="E127" s="19"/>
      <c r="F127" s="31"/>
      <c r="G127" s="63"/>
      <c r="H127" s="33">
        <f t="shared" si="30"/>
        <v>0</v>
      </c>
      <c r="I127" s="20">
        <f>IF(F127&gt;0,(((('Employee Direct Care'!C$5*52)*D127)*C127)*F127),0)</f>
        <v>0</v>
      </c>
      <c r="J127" s="33">
        <f t="shared" si="31"/>
        <v>0</v>
      </c>
      <c r="K127" s="20">
        <f>IF(F127&gt;0,(((('Employee Direct Care'!C$5*52)*D127)*C127)-I127),(((('Employee Direct Care'!C$5*52)*D127)*C127)-I127))</f>
        <v>0</v>
      </c>
      <c r="L127" s="20">
        <f>ROUND((H127*('Employee Direct Care'!C$5*52)*G127),1)</f>
        <v>0</v>
      </c>
    </row>
    <row r="128" spans="1:12" x14ac:dyDescent="0.25">
      <c r="A128" s="28" t="s">
        <v>3</v>
      </c>
      <c r="B128" s="18" t="s">
        <v>92</v>
      </c>
      <c r="C128" s="18"/>
      <c r="D128" s="54">
        <v>0</v>
      </c>
      <c r="E128" s="19"/>
      <c r="F128" s="31"/>
      <c r="G128" s="63"/>
      <c r="H128" s="33">
        <f t="shared" si="30"/>
        <v>0</v>
      </c>
      <c r="I128" s="20">
        <f>IF(F128&gt;0,(((('Employee Direct Care'!C$5*52)*D128)*C128)*F128),0)</f>
        <v>0</v>
      </c>
      <c r="J128" s="33">
        <f t="shared" si="31"/>
        <v>0</v>
      </c>
      <c r="K128" s="20">
        <f>IF(F128&gt;0,(((('Employee Direct Care'!C$5*52)*D128)*C128)-I128),(((('Employee Direct Care'!C$5*52)*D128)*C128)-I128))</f>
        <v>0</v>
      </c>
      <c r="L128" s="20">
        <f>ROUND((H128*('Employee Direct Care'!C$5*52)*G128),1)</f>
        <v>0</v>
      </c>
    </row>
    <row r="129" spans="1:12" x14ac:dyDescent="0.25">
      <c r="A129" s="28"/>
      <c r="B129" s="18" t="s">
        <v>93</v>
      </c>
      <c r="C129" s="18"/>
      <c r="D129" s="54">
        <v>0</v>
      </c>
      <c r="E129" s="19"/>
      <c r="F129" s="31"/>
      <c r="G129" s="63"/>
      <c r="H129" s="33">
        <f t="shared" si="30"/>
        <v>0</v>
      </c>
      <c r="I129" s="20">
        <f>IF(F129&gt;0,(((('Employee Direct Care'!C$5*52)*D129)*C129)*F129),0)</f>
        <v>0</v>
      </c>
      <c r="J129" s="33">
        <f t="shared" si="31"/>
        <v>0</v>
      </c>
      <c r="K129" s="20">
        <f>IF(F129&gt;0,(((('Employee Direct Care'!C$5*52)*D129)*C129)-I129),(((('Employee Direct Care'!C$5*52)*D129)*C129)-I129))</f>
        <v>0</v>
      </c>
      <c r="L129" s="20">
        <f>ROUND((H129*('Employee Direct Care'!C$5*52)*G129),1)</f>
        <v>0</v>
      </c>
    </row>
    <row r="130" spans="1:12" x14ac:dyDescent="0.25">
      <c r="A130" s="6"/>
      <c r="B130" s="21" t="s">
        <v>14</v>
      </c>
      <c r="C130" s="21"/>
      <c r="D130" s="56"/>
      <c r="E130" s="22"/>
      <c r="F130" s="44"/>
      <c r="G130" s="64"/>
      <c r="H130" s="22"/>
      <c r="I130" s="23"/>
      <c r="J130" s="23"/>
      <c r="K130" s="23"/>
      <c r="L130" s="23"/>
    </row>
  </sheetData>
  <sheetProtection password="CEBE" sheet="1" objects="1" scenarios="1"/>
  <mergeCells count="2">
    <mergeCell ref="H5:I5"/>
    <mergeCell ref="B5:F5"/>
  </mergeCells>
  <pageMargins left="0.25" right="0" top="0.5" bottom="0.5" header="0.25" footer="0.25"/>
  <pageSetup scale="8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179"/>
  <sheetViews>
    <sheetView zoomScaleNormal="100" workbookViewId="0">
      <pane ySplit="6" topLeftCell="A7" activePane="bottomLeft" state="frozen"/>
      <selection pane="bottomLeft" activeCell="E18" sqref="E18"/>
    </sheetView>
  </sheetViews>
  <sheetFormatPr defaultColWidth="9.140625" defaultRowHeight="15" x14ac:dyDescent="0.25"/>
  <cols>
    <col min="1" max="1" width="2.7109375" style="206" customWidth="1"/>
    <col min="2" max="2" width="33" style="206" customWidth="1"/>
    <col min="3" max="3" width="8.85546875" style="206" customWidth="1"/>
    <col min="4" max="4" width="9.140625" style="206"/>
    <col min="5" max="5" width="13.140625" style="270" customWidth="1"/>
    <col min="6" max="6" width="8.85546875" style="206" customWidth="1"/>
    <col min="7" max="7" width="13.140625" style="206" customWidth="1"/>
    <col min="8" max="8" width="4" style="206" customWidth="1"/>
    <col min="9" max="9" width="13.42578125" style="206" customWidth="1"/>
    <col min="10" max="10" width="12.85546875" style="206" customWidth="1"/>
    <col min="11" max="11" width="10.28515625" style="206" customWidth="1"/>
    <col min="12" max="12" width="11.140625" style="206" customWidth="1"/>
    <col min="13" max="13" width="17" style="206" customWidth="1"/>
    <col min="14" max="15" width="11.85546875" style="206" bestFit="1" customWidth="1"/>
    <col min="16" max="16384" width="9.140625" style="206"/>
  </cols>
  <sheetData>
    <row r="1" spans="2:14" ht="18" x14ac:dyDescent="0.35">
      <c r="B1" s="269" t="s">
        <v>163</v>
      </c>
      <c r="L1" s="271" t="s">
        <v>0</v>
      </c>
      <c r="N1" s="271"/>
    </row>
    <row r="2" spans="2:14" ht="18" x14ac:dyDescent="0.35">
      <c r="B2" s="272" t="s">
        <v>164</v>
      </c>
      <c r="K2" s="273"/>
      <c r="L2" s="248" t="s">
        <v>1</v>
      </c>
      <c r="N2" s="274"/>
    </row>
    <row r="3" spans="2:14" ht="14.45" x14ac:dyDescent="0.3">
      <c r="D3" s="275"/>
      <c r="E3" s="276"/>
      <c r="F3" s="275"/>
      <c r="G3" s="275"/>
      <c r="H3" s="275"/>
      <c r="I3" s="275"/>
      <c r="K3" s="277"/>
      <c r="L3" s="248" t="s">
        <v>2</v>
      </c>
      <c r="N3" s="278"/>
    </row>
    <row r="4" spans="2:14" ht="14.45" x14ac:dyDescent="0.3">
      <c r="D4" s="275"/>
      <c r="E4" s="276"/>
      <c r="F4" s="275"/>
      <c r="G4" s="275"/>
      <c r="H4" s="275"/>
      <c r="I4" s="275"/>
      <c r="K4" s="279"/>
      <c r="L4" s="248" t="s">
        <v>4</v>
      </c>
      <c r="N4" s="278"/>
    </row>
    <row r="5" spans="2:14" ht="11.25" customHeight="1" x14ac:dyDescent="0.3">
      <c r="D5" s="275"/>
      <c r="E5" s="276"/>
      <c r="F5" s="275"/>
      <c r="G5" s="275"/>
      <c r="H5" s="275"/>
      <c r="I5" s="275"/>
      <c r="J5" s="275"/>
      <c r="K5" s="248"/>
      <c r="L5" s="280"/>
    </row>
    <row r="6" spans="2:14" ht="33" customHeight="1" thickBot="1" x14ac:dyDescent="0.35">
      <c r="B6" s="281" t="s">
        <v>94</v>
      </c>
      <c r="C6" s="282" t="s">
        <v>99</v>
      </c>
      <c r="D6" s="283" t="s">
        <v>100</v>
      </c>
      <c r="E6" s="284" t="s">
        <v>164</v>
      </c>
      <c r="F6" s="285"/>
      <c r="I6" s="286" t="s">
        <v>236</v>
      </c>
      <c r="J6" s="287"/>
      <c r="K6" s="288"/>
    </row>
    <row r="7" spans="2:14" ht="14.45" x14ac:dyDescent="0.3">
      <c r="B7" s="90" t="s">
        <v>95</v>
      </c>
      <c r="C7" s="85">
        <v>64459</v>
      </c>
      <c r="D7" s="93">
        <v>1</v>
      </c>
      <c r="E7" s="317">
        <f t="shared" ref="E7:E14" si="0">ROUND(C7*D7,0)</f>
        <v>64459</v>
      </c>
      <c r="F7" s="285"/>
      <c r="I7" s="206" t="s">
        <v>238</v>
      </c>
      <c r="K7" s="319">
        <f>E18+E38</f>
        <v>210503.1</v>
      </c>
      <c r="L7" s="289"/>
    </row>
    <row r="8" spans="2:14" ht="14.45" x14ac:dyDescent="0.3">
      <c r="B8" s="91" t="s">
        <v>177</v>
      </c>
      <c r="C8" s="86">
        <v>25431</v>
      </c>
      <c r="D8" s="94">
        <v>1</v>
      </c>
      <c r="E8" s="317">
        <f t="shared" si="0"/>
        <v>25431</v>
      </c>
      <c r="I8" s="206" t="s">
        <v>102</v>
      </c>
      <c r="K8" s="319">
        <f>ROUND(K7*'Employee Direct Care'!C4,0)</f>
        <v>58941</v>
      </c>
      <c r="L8" s="289"/>
    </row>
    <row r="9" spans="2:14" ht="14.45" x14ac:dyDescent="0.3">
      <c r="B9" s="91" t="s">
        <v>174</v>
      </c>
      <c r="C9" s="86">
        <v>38412</v>
      </c>
      <c r="D9" s="94">
        <v>0.2</v>
      </c>
      <c r="E9" s="317">
        <f t="shared" si="0"/>
        <v>7682</v>
      </c>
      <c r="I9" s="206" t="s">
        <v>203</v>
      </c>
      <c r="K9" s="319">
        <f>J38</f>
        <v>45240</v>
      </c>
      <c r="L9" s="289"/>
    </row>
    <row r="10" spans="2:14" ht="14.45" x14ac:dyDescent="0.3">
      <c r="B10" s="91" t="s">
        <v>96</v>
      </c>
      <c r="C10" s="87">
        <v>31990</v>
      </c>
      <c r="D10" s="94">
        <v>0.5</v>
      </c>
      <c r="E10" s="317">
        <f t="shared" si="0"/>
        <v>15995</v>
      </c>
      <c r="I10" s="206" t="s">
        <v>103</v>
      </c>
      <c r="K10" s="95">
        <v>97500</v>
      </c>
      <c r="L10" s="289"/>
    </row>
    <row r="11" spans="2:14" ht="14.45" x14ac:dyDescent="0.3">
      <c r="B11" s="91" t="s">
        <v>175</v>
      </c>
      <c r="C11" s="87">
        <v>42500</v>
      </c>
      <c r="D11" s="94">
        <v>0.5</v>
      </c>
      <c r="E11" s="317">
        <f t="shared" si="0"/>
        <v>21250</v>
      </c>
      <c r="I11" s="206" t="s">
        <v>104</v>
      </c>
      <c r="K11" s="95">
        <v>5200</v>
      </c>
      <c r="L11" s="289"/>
    </row>
    <row r="12" spans="2:14" ht="14.45" x14ac:dyDescent="0.3">
      <c r="B12" s="91" t="s">
        <v>176</v>
      </c>
      <c r="C12" s="87">
        <v>18720</v>
      </c>
      <c r="D12" s="94">
        <v>3</v>
      </c>
      <c r="E12" s="317">
        <f t="shared" si="0"/>
        <v>56160</v>
      </c>
      <c r="I12" s="206" t="s">
        <v>105</v>
      </c>
      <c r="K12" s="95">
        <v>50125</v>
      </c>
      <c r="L12" s="289"/>
    </row>
    <row r="13" spans="2:14" ht="14.45" x14ac:dyDescent="0.3">
      <c r="B13" s="91"/>
      <c r="C13" s="92"/>
      <c r="D13" s="96">
        <v>0</v>
      </c>
      <c r="E13" s="317">
        <f t="shared" si="0"/>
        <v>0</v>
      </c>
      <c r="H13" s="290" t="s">
        <v>237</v>
      </c>
      <c r="I13" s="206" t="s">
        <v>106</v>
      </c>
      <c r="K13" s="320">
        <f>('Benchmark Summary'!E7+'Benchmark Summary'!E8+'Benchmark Summary'!E9)*G18</f>
        <v>129978.86</v>
      </c>
    </row>
    <row r="14" spans="2:14" ht="14.45" x14ac:dyDescent="0.3">
      <c r="B14" s="91"/>
      <c r="C14" s="92"/>
      <c r="D14" s="96">
        <v>0</v>
      </c>
      <c r="E14" s="317">
        <f t="shared" si="0"/>
        <v>0</v>
      </c>
      <c r="L14" s="289"/>
    </row>
    <row r="15" spans="2:14" thickBot="1" x14ac:dyDescent="0.35">
      <c r="B15" s="91"/>
      <c r="C15" s="92"/>
      <c r="D15" s="96"/>
      <c r="E15" s="317">
        <f t="shared" ref="E15:E16" si="1">ROUND(C15*D15,0)</f>
        <v>0</v>
      </c>
      <c r="I15" s="291" t="s">
        <v>165</v>
      </c>
      <c r="K15" s="321">
        <f>SUM(K7:K14)</f>
        <v>597487.96</v>
      </c>
      <c r="L15" s="292"/>
    </row>
    <row r="16" spans="2:14" thickTop="1" x14ac:dyDescent="0.3">
      <c r="B16" s="91"/>
      <c r="C16" s="92"/>
      <c r="D16" s="96"/>
      <c r="E16" s="318">
        <f t="shared" si="1"/>
        <v>0</v>
      </c>
      <c r="I16" s="293"/>
      <c r="L16" s="292"/>
    </row>
    <row r="17" spans="2:14" ht="12" customHeight="1" x14ac:dyDescent="0.3">
      <c r="B17" s="294" t="s">
        <v>14</v>
      </c>
      <c r="C17" s="295"/>
      <c r="D17" s="295"/>
      <c r="E17" s="296"/>
      <c r="L17" s="292"/>
    </row>
    <row r="18" spans="2:14" ht="14.45" x14ac:dyDescent="0.3">
      <c r="B18" s="297"/>
      <c r="C18" s="298" t="s">
        <v>229</v>
      </c>
      <c r="D18" s="315">
        <f>SUM(D7:D17)</f>
        <v>6.2</v>
      </c>
      <c r="E18" s="316">
        <f>SUM(E7:E17)</f>
        <v>190977</v>
      </c>
      <c r="G18" s="121">
        <v>0.11</v>
      </c>
      <c r="H18" s="290" t="s">
        <v>237</v>
      </c>
      <c r="I18" s="206" t="s">
        <v>231</v>
      </c>
      <c r="L18" s="292"/>
    </row>
    <row r="19" spans="2:14" ht="14.45" x14ac:dyDescent="0.3">
      <c r="B19" s="297"/>
      <c r="C19" s="298"/>
      <c r="D19" s="297"/>
      <c r="E19" s="297"/>
      <c r="F19" s="297"/>
      <c r="G19" s="297"/>
      <c r="H19" s="297"/>
      <c r="I19" s="297"/>
      <c r="L19" s="292"/>
    </row>
    <row r="20" spans="2:14" ht="14.45" x14ac:dyDescent="0.3">
      <c r="B20" s="299"/>
      <c r="C20" s="300"/>
      <c r="D20" s="300"/>
      <c r="E20" s="300"/>
      <c r="F20" s="300"/>
      <c r="G20" s="300"/>
      <c r="H20" s="300"/>
      <c r="I20" s="300"/>
      <c r="J20" s="300"/>
      <c r="K20" s="300"/>
      <c r="L20" s="300"/>
      <c r="M20" s="301"/>
    </row>
    <row r="21" spans="2:14" thickBot="1" x14ac:dyDescent="0.35">
      <c r="B21" s="302"/>
      <c r="C21" s="303"/>
      <c r="D21" s="526" t="s">
        <v>227</v>
      </c>
      <c r="E21" s="526"/>
      <c r="F21" s="519"/>
      <c r="G21" s="519"/>
      <c r="I21" s="525" t="s">
        <v>230</v>
      </c>
      <c r="J21" s="526"/>
      <c r="K21" s="526"/>
      <c r="L21" s="526"/>
    </row>
    <row r="22" spans="2:14" s="217" customFormat="1" thickBot="1" x14ac:dyDescent="0.35">
      <c r="B22" s="304" t="s">
        <v>239</v>
      </c>
      <c r="C22" s="305"/>
      <c r="D22" s="306" t="s">
        <v>100</v>
      </c>
      <c r="E22" s="307" t="s">
        <v>188</v>
      </c>
      <c r="F22" s="308" t="s">
        <v>100</v>
      </c>
      <c r="G22" s="309" t="s">
        <v>228</v>
      </c>
      <c r="H22" s="310"/>
      <c r="I22" s="306" t="s">
        <v>100</v>
      </c>
      <c r="J22" s="307" t="s">
        <v>188</v>
      </c>
      <c r="K22" s="306" t="s">
        <v>100</v>
      </c>
      <c r="L22" s="307" t="s">
        <v>228</v>
      </c>
    </row>
    <row r="23" spans="2:14" thickBot="1" x14ac:dyDescent="0.35">
      <c r="B23" s="322" t="str">
        <f>'Employee Direct Care'!B14</f>
        <v xml:space="preserve">Nurse Practitioner </v>
      </c>
      <c r="C23" s="323"/>
      <c r="D23" s="324">
        <f>'Employee Direct Care'!I14</f>
        <v>0</v>
      </c>
      <c r="E23" s="325">
        <f>'Employee Direct Care'!J14</f>
        <v>0</v>
      </c>
      <c r="F23" s="326">
        <f>'Employee Direct Care'!G14</f>
        <v>1</v>
      </c>
      <c r="G23" s="327">
        <f>'Employee Direct Care'!H14</f>
        <v>25000</v>
      </c>
      <c r="I23" s="324">
        <f>'FFS-Contracted Direct Care'!J12</f>
        <v>0</v>
      </c>
      <c r="J23" s="325">
        <f>'FFS-Contracted Direct Care'!K12</f>
        <v>0</v>
      </c>
      <c r="K23" s="324">
        <f>'FFS-Contracted Direct Care'!H12</f>
        <v>0</v>
      </c>
      <c r="L23" s="325">
        <f>'FFS-Contracted Direct Care'!I12</f>
        <v>0</v>
      </c>
      <c r="N23" s="293"/>
    </row>
    <row r="24" spans="2:14" thickBot="1" x14ac:dyDescent="0.35">
      <c r="B24" s="322" t="str">
        <f>'Employee Direct Care'!B22</f>
        <v xml:space="preserve">Licensed Practical Nurse </v>
      </c>
      <c r="C24" s="323"/>
      <c r="D24" s="324">
        <f>'Employee Direct Care'!I22</f>
        <v>0</v>
      </c>
      <c r="E24" s="325">
        <f>'Employee Direct Care'!J22</f>
        <v>0</v>
      </c>
      <c r="F24" s="326">
        <f>'Employee Direct Care'!G22</f>
        <v>0</v>
      </c>
      <c r="G24" s="327">
        <f>'Employee Direct Care'!H22</f>
        <v>0</v>
      </c>
      <c r="I24" s="324">
        <f>'FFS-Contracted Direct Care'!J20</f>
        <v>0</v>
      </c>
      <c r="J24" s="325">
        <f>'FFS-Contracted Direct Care'!K20</f>
        <v>0</v>
      </c>
      <c r="K24" s="324">
        <f>'FFS-Contracted Direct Care'!H20</f>
        <v>0</v>
      </c>
      <c r="L24" s="325">
        <f>'FFS-Contracted Direct Care'!I20</f>
        <v>0</v>
      </c>
    </row>
    <row r="25" spans="2:14" ht="15.75" thickBot="1" x14ac:dyDescent="0.3">
      <c r="B25" s="322" t="str">
        <f>'Employee Direct Care'!B30</f>
        <v>Registered Nurse</v>
      </c>
      <c r="C25" s="323"/>
      <c r="D25" s="324">
        <f>'Employee Direct Care'!I30</f>
        <v>0.25</v>
      </c>
      <c r="E25" s="325">
        <f>'Employee Direct Care'!J30</f>
        <v>11372.5</v>
      </c>
      <c r="F25" s="326">
        <f>'Employee Direct Care'!G30</f>
        <v>0.75</v>
      </c>
      <c r="G25" s="327">
        <f>'Employee Direct Care'!H30</f>
        <v>34117.5</v>
      </c>
      <c r="I25" s="324">
        <f>'FFS-Contracted Direct Care'!J28</f>
        <v>0</v>
      </c>
      <c r="J25" s="325">
        <f>'FFS-Contracted Direct Care'!K28</f>
        <v>0</v>
      </c>
      <c r="K25" s="324">
        <f>'FFS-Contracted Direct Care'!H28</f>
        <v>0</v>
      </c>
      <c r="L25" s="325">
        <f>'FFS-Contracted Direct Care'!I28</f>
        <v>0</v>
      </c>
      <c r="M25" s="311"/>
    </row>
    <row r="26" spans="2:14" ht="15.75" thickBot="1" x14ac:dyDescent="0.3">
      <c r="B26" s="322" t="str">
        <f>'Employee Direct Care'!B38</f>
        <v>Psychiatrist</v>
      </c>
      <c r="C26" s="323"/>
      <c r="D26" s="324">
        <f>'Employee Direct Care'!I38</f>
        <v>0</v>
      </c>
      <c r="E26" s="325">
        <f>'Employee Direct Care'!J38</f>
        <v>0</v>
      </c>
      <c r="F26" s="326">
        <f>'Employee Direct Care'!G38</f>
        <v>0</v>
      </c>
      <c r="G26" s="327">
        <f>'Employee Direct Care'!H38</f>
        <v>0</v>
      </c>
      <c r="I26" s="324">
        <f>'FFS-Contracted Direct Care'!J36</f>
        <v>0.15000000000000002</v>
      </c>
      <c r="J26" s="325">
        <f>'FFS-Contracted Direct Care'!K36</f>
        <v>45240</v>
      </c>
      <c r="K26" s="324">
        <f>'FFS-Contracted Direct Care'!H36</f>
        <v>0.85</v>
      </c>
      <c r="L26" s="325">
        <f>'FFS-Contracted Direct Care'!I36</f>
        <v>256360</v>
      </c>
    </row>
    <row r="27" spans="2:14" ht="15.75" thickBot="1" x14ac:dyDescent="0.3">
      <c r="B27" s="322" t="str">
        <f>'Employee Direct Care'!B46</f>
        <v>Physicians Assistant</v>
      </c>
      <c r="C27" s="323"/>
      <c r="D27" s="324">
        <f>'Employee Direct Care'!I46</f>
        <v>0</v>
      </c>
      <c r="E27" s="325">
        <f>'Employee Direct Care'!J46</f>
        <v>0</v>
      </c>
      <c r="F27" s="326">
        <f>'Employee Direct Care'!G46</f>
        <v>0</v>
      </c>
      <c r="G27" s="327">
        <f>'Employee Direct Care'!H46</f>
        <v>0</v>
      </c>
      <c r="I27" s="324">
        <f>'FFS-Contracted Direct Care'!J44</f>
        <v>0</v>
      </c>
      <c r="J27" s="325">
        <f>'FFS-Contracted Direct Care'!K44</f>
        <v>0</v>
      </c>
      <c r="K27" s="324">
        <f>'FFS-Contracted Direct Care'!H44</f>
        <v>0</v>
      </c>
      <c r="L27" s="325">
        <f>'FFS-Contracted Direct Care'!I44</f>
        <v>0</v>
      </c>
    </row>
    <row r="28" spans="2:14" ht="15.75" thickBot="1" x14ac:dyDescent="0.3">
      <c r="B28" s="322" t="str">
        <f>'Employee Direct Care'!B54</f>
        <v>Physician - MD</v>
      </c>
      <c r="C28" s="323"/>
      <c r="D28" s="324">
        <f>'Employee Direct Care'!I54</f>
        <v>0</v>
      </c>
      <c r="E28" s="325">
        <f>'Employee Direct Care'!J54</f>
        <v>0</v>
      </c>
      <c r="F28" s="326">
        <f>'Employee Direct Care'!G54</f>
        <v>0</v>
      </c>
      <c r="G28" s="327">
        <f>'Employee Direct Care'!H54</f>
        <v>0</v>
      </c>
      <c r="I28" s="324">
        <f>'FFS-Contracted Direct Care'!J52</f>
        <v>0</v>
      </c>
      <c r="J28" s="325">
        <f>'FFS-Contracted Direct Care'!K52</f>
        <v>0</v>
      </c>
      <c r="K28" s="324">
        <f>'FFS-Contracted Direct Care'!H52</f>
        <v>0</v>
      </c>
      <c r="L28" s="325">
        <f>'FFS-Contracted Direct Care'!I52</f>
        <v>0</v>
      </c>
    </row>
    <row r="29" spans="2:14" ht="15.75" thickBot="1" x14ac:dyDescent="0.3">
      <c r="B29" s="322" t="str">
        <f>'Employee Direct Care'!B62</f>
        <v>Psychologist - Licensed</v>
      </c>
      <c r="C29" s="323"/>
      <c r="D29" s="324">
        <f>'Employee Direct Care'!I62</f>
        <v>0</v>
      </c>
      <c r="E29" s="325">
        <f>'Employee Direct Care'!J62</f>
        <v>0</v>
      </c>
      <c r="F29" s="326">
        <f>'Employee Direct Care'!G62</f>
        <v>0</v>
      </c>
      <c r="G29" s="327">
        <f>'Employee Direct Care'!H62</f>
        <v>0</v>
      </c>
      <c r="I29" s="324">
        <f>'FFS-Contracted Direct Care'!J60</f>
        <v>0</v>
      </c>
      <c r="J29" s="325">
        <f>'FFS-Contracted Direct Care'!K60</f>
        <v>0</v>
      </c>
      <c r="K29" s="324">
        <f>'FFS-Contracted Direct Care'!H60</f>
        <v>0</v>
      </c>
      <c r="L29" s="325">
        <f>'FFS-Contracted Direct Care'!I60</f>
        <v>0</v>
      </c>
    </row>
    <row r="30" spans="2:14" ht="15.75" thickBot="1" x14ac:dyDescent="0.3">
      <c r="B30" s="322" t="str">
        <f>'Employee Direct Care'!B70</f>
        <v>Psychologist - Masters/BH Specialist</v>
      </c>
      <c r="C30" s="323"/>
      <c r="D30" s="324">
        <f>'Employee Direct Care'!I70</f>
        <v>0</v>
      </c>
      <c r="E30" s="325">
        <f>'Employee Direct Care'!J70</f>
        <v>0</v>
      </c>
      <c r="F30" s="326">
        <f>'Employee Direct Care'!G70</f>
        <v>0</v>
      </c>
      <c r="G30" s="327">
        <f>'Employee Direct Care'!H70</f>
        <v>0</v>
      </c>
      <c r="I30" s="324">
        <f>'FFS-Contracted Direct Care'!J68</f>
        <v>0</v>
      </c>
      <c r="J30" s="325">
        <f>'FFS-Contracted Direct Care'!K68</f>
        <v>0</v>
      </c>
      <c r="K30" s="324">
        <f>'FFS-Contracted Direct Care'!H68</f>
        <v>0</v>
      </c>
      <c r="L30" s="325">
        <f>'FFS-Contracted Direct Care'!I68</f>
        <v>0</v>
      </c>
    </row>
    <row r="31" spans="2:14" ht="15.75" thickBot="1" x14ac:dyDescent="0.3">
      <c r="B31" s="322" t="str">
        <f>'Employee Direct Care'!B78</f>
        <v>Psychology Worker/Other BH Worker</v>
      </c>
      <c r="C31" s="323"/>
      <c r="D31" s="324">
        <f>'Employee Direct Care'!I78</f>
        <v>0</v>
      </c>
      <c r="E31" s="325">
        <f>'Employee Direct Care'!J78</f>
        <v>0</v>
      </c>
      <c r="F31" s="326">
        <f>'Employee Direct Care'!G78</f>
        <v>0</v>
      </c>
      <c r="G31" s="327">
        <f>'Employee Direct Care'!H78</f>
        <v>0</v>
      </c>
      <c r="I31" s="324">
        <f>'FFS-Contracted Direct Care'!J76</f>
        <v>0</v>
      </c>
      <c r="J31" s="325">
        <f>'FFS-Contracted Direct Care'!K76</f>
        <v>0</v>
      </c>
      <c r="K31" s="324">
        <f>'FFS-Contracted Direct Care'!H76</f>
        <v>0</v>
      </c>
      <c r="L31" s="325">
        <f>'FFS-Contracted Direct Care'!I76</f>
        <v>0</v>
      </c>
      <c r="M31" s="311"/>
    </row>
    <row r="32" spans="2:14" ht="15.75" thickBot="1" x14ac:dyDescent="0.3">
      <c r="B32" s="322" t="str">
        <f>'Employee Direct Care'!B86</f>
        <v>Social Worker-Licensed LMSW,LCSW</v>
      </c>
      <c r="C32" s="323"/>
      <c r="D32" s="324">
        <f>'Employee Direct Care'!I86</f>
        <v>0.2</v>
      </c>
      <c r="E32" s="325">
        <f>'Employee Direct Care'!J86</f>
        <v>8153.5999999999985</v>
      </c>
      <c r="F32" s="326">
        <f>'Employee Direct Care'!G86</f>
        <v>2.8</v>
      </c>
      <c r="G32" s="327">
        <f>'Employee Direct Care'!H86</f>
        <v>114150.39999999999</v>
      </c>
      <c r="I32" s="324">
        <f>'FFS-Contracted Direct Care'!J84</f>
        <v>0</v>
      </c>
      <c r="J32" s="325">
        <f>'FFS-Contracted Direct Care'!K84</f>
        <v>0</v>
      </c>
      <c r="K32" s="324">
        <f>'FFS-Contracted Direct Care'!H84</f>
        <v>2.5</v>
      </c>
      <c r="L32" s="325">
        <f>'FFS-Contracted Direct Care'!I84</f>
        <v>234000</v>
      </c>
    </row>
    <row r="33" spans="2:14" ht="15.75" thickBot="1" x14ac:dyDescent="0.3">
      <c r="B33" s="322" t="str">
        <f>'Employee Direct Care'!B94</f>
        <v>Social Worker - Master's Level (MSW)</v>
      </c>
      <c r="C33" s="323"/>
      <c r="D33" s="324">
        <f>'Employee Direct Care'!I94</f>
        <v>0</v>
      </c>
      <c r="E33" s="325">
        <f>'Employee Direct Care'!J94</f>
        <v>0</v>
      </c>
      <c r="F33" s="326">
        <f>'Employee Direct Care'!G94</f>
        <v>0</v>
      </c>
      <c r="G33" s="327">
        <f>'Employee Direct Care'!H94</f>
        <v>0</v>
      </c>
      <c r="I33" s="324">
        <f>'FFS-Contracted Direct Care'!J92</f>
        <v>0</v>
      </c>
      <c r="J33" s="325">
        <f>'FFS-Contracted Direct Care'!K92</f>
        <v>0</v>
      </c>
      <c r="K33" s="324">
        <f>'FFS-Contracted Direct Care'!H92</f>
        <v>0</v>
      </c>
      <c r="L33" s="325">
        <f>'FFS-Contracted Direct Care'!I92</f>
        <v>0</v>
      </c>
    </row>
    <row r="34" spans="2:14" ht="15.75" thickBot="1" x14ac:dyDescent="0.3">
      <c r="B34" s="322" t="str">
        <f>'Employee Direct Care'!B102</f>
        <v>Licensed Mental Health Counselor (LMHC)</v>
      </c>
      <c r="C34" s="323"/>
      <c r="D34" s="324">
        <f>'Employee Direct Care'!I102</f>
        <v>0</v>
      </c>
      <c r="E34" s="325">
        <f>'Employee Direct Care'!J102</f>
        <v>0</v>
      </c>
      <c r="F34" s="326">
        <f>'Employee Direct Care'!G102</f>
        <v>0</v>
      </c>
      <c r="G34" s="327">
        <f>'Employee Direct Care'!H102</f>
        <v>0</v>
      </c>
      <c r="I34" s="324">
        <f>'FFS-Contracted Direct Care'!J100</f>
        <v>0</v>
      </c>
      <c r="J34" s="325">
        <f>'FFS-Contracted Direct Care'!K100</f>
        <v>0</v>
      </c>
      <c r="K34" s="324">
        <f>'FFS-Contracted Direct Care'!H100</f>
        <v>0</v>
      </c>
      <c r="L34" s="325">
        <f>'FFS-Contracted Direct Care'!I100</f>
        <v>0</v>
      </c>
      <c r="N34" s="292"/>
    </row>
    <row r="35" spans="2:14" ht="15.75" thickBot="1" x14ac:dyDescent="0.3">
      <c r="B35" s="322" t="str">
        <f>'Employee Direct Care'!B110</f>
        <v>Licensed Marriage &amp; Family Therapist (LMFT)</v>
      </c>
      <c r="C35" s="323"/>
      <c r="D35" s="324">
        <f>'Employee Direct Care'!I110</f>
        <v>0</v>
      </c>
      <c r="E35" s="325">
        <f>'Employee Direct Care'!J110</f>
        <v>0</v>
      </c>
      <c r="F35" s="326">
        <f>'Employee Direct Care'!G110</f>
        <v>1</v>
      </c>
      <c r="G35" s="327">
        <f>'Employee Direct Care'!H110</f>
        <v>44765</v>
      </c>
      <c r="I35" s="324">
        <f>'FFS-Contracted Direct Care'!J108</f>
        <v>0</v>
      </c>
      <c r="J35" s="325">
        <f>'FFS-Contracted Direct Care'!K108</f>
        <v>0</v>
      </c>
      <c r="K35" s="324">
        <f>'FFS-Contracted Direct Care'!H108</f>
        <v>0</v>
      </c>
      <c r="L35" s="325">
        <f>'FFS-Contracted Direct Care'!I108</f>
        <v>0</v>
      </c>
      <c r="N35" s="292"/>
    </row>
    <row r="36" spans="2:14" ht="15.75" thickBot="1" x14ac:dyDescent="0.3">
      <c r="B36" s="322" t="str">
        <f>'Employee Direct Care'!B118</f>
        <v>Licensed Creative Arts Therapist (LCAT)</v>
      </c>
      <c r="C36" s="323"/>
      <c r="D36" s="324">
        <f>'Employee Direct Care'!I118</f>
        <v>0</v>
      </c>
      <c r="E36" s="325">
        <f>'Employee Direct Care'!J118</f>
        <v>0</v>
      </c>
      <c r="F36" s="326">
        <f>'Employee Direct Care'!G118</f>
        <v>0</v>
      </c>
      <c r="G36" s="327">
        <f>'Employee Direct Care'!H118</f>
        <v>0</v>
      </c>
      <c r="I36" s="324">
        <f>'FFS-Contracted Direct Care'!J116</f>
        <v>0</v>
      </c>
      <c r="J36" s="325">
        <f>'FFS-Contracted Direct Care'!K116</f>
        <v>0</v>
      </c>
      <c r="K36" s="324">
        <f>'FFS-Contracted Direct Care'!H116</f>
        <v>0</v>
      </c>
      <c r="L36" s="325">
        <f>'FFS-Contracted Direct Care'!I116</f>
        <v>0</v>
      </c>
    </row>
    <row r="37" spans="2:14" ht="15.75" thickBot="1" x14ac:dyDescent="0.3">
      <c r="B37" s="328" t="str">
        <f>'Employee Direct Care'!B126</f>
        <v>Licensed Psychoanalyst</v>
      </c>
      <c r="C37" s="329"/>
      <c r="D37" s="324">
        <f>'Employee Direct Care'!I126</f>
        <v>0</v>
      </c>
      <c r="E37" s="325">
        <f>'Employee Direct Care'!J126</f>
        <v>0</v>
      </c>
      <c r="F37" s="326">
        <f>'Employee Direct Care'!G126</f>
        <v>0</v>
      </c>
      <c r="G37" s="327">
        <f>'Employee Direct Care'!H126</f>
        <v>0</v>
      </c>
      <c r="I37" s="324">
        <f>'FFS-Contracted Direct Care'!J124</f>
        <v>0</v>
      </c>
      <c r="J37" s="325">
        <f>'FFS-Contracted Direct Care'!K124</f>
        <v>0</v>
      </c>
      <c r="K37" s="324">
        <f>'FFS-Contracted Direct Care'!H124</f>
        <v>0</v>
      </c>
      <c r="L37" s="325">
        <f>'FFS-Contracted Direct Care'!I124</f>
        <v>0</v>
      </c>
    </row>
    <row r="38" spans="2:14" ht="15.75" thickBot="1" x14ac:dyDescent="0.3">
      <c r="B38" s="330" t="s">
        <v>213</v>
      </c>
      <c r="C38" s="331"/>
      <c r="D38" s="332">
        <f>SUM(D23:D37)</f>
        <v>0.45</v>
      </c>
      <c r="E38" s="333">
        <f>SUM(E23:E37)</f>
        <v>19526.099999999999</v>
      </c>
      <c r="F38" s="334">
        <f>SUM(F23:F37)</f>
        <v>5.55</v>
      </c>
      <c r="G38" s="335">
        <f>SUM(G23:G37)</f>
        <v>218032.9</v>
      </c>
      <c r="I38" s="336">
        <f>SUM(I23:I37)</f>
        <v>0.15000000000000002</v>
      </c>
      <c r="J38" s="337">
        <f>SUM(J23:J37)</f>
        <v>45240</v>
      </c>
      <c r="K38" s="336">
        <f>SUM(K23:K37)</f>
        <v>3.35</v>
      </c>
      <c r="L38" s="338">
        <f>SUM(L23:L37)</f>
        <v>490360</v>
      </c>
    </row>
    <row r="39" spans="2:14" x14ac:dyDescent="0.25">
      <c r="E39" s="211"/>
      <c r="F39" s="270"/>
      <c r="G39" s="270"/>
    </row>
    <row r="48" spans="2:14" x14ac:dyDescent="0.25">
      <c r="K48" s="289"/>
    </row>
    <row r="50" spans="11:11" x14ac:dyDescent="0.25">
      <c r="K50" s="289"/>
    </row>
    <row r="51" spans="11:11" x14ac:dyDescent="0.25">
      <c r="K51" s="289"/>
    </row>
    <row r="52" spans="11:11" x14ac:dyDescent="0.25">
      <c r="K52" s="289"/>
    </row>
    <row r="53" spans="11:11" x14ac:dyDescent="0.25">
      <c r="K53" s="312"/>
    </row>
    <row r="54" spans="11:11" x14ac:dyDescent="0.25">
      <c r="K54" s="312"/>
    </row>
    <row r="155" spans="4:7" x14ac:dyDescent="0.25">
      <c r="D155" s="313"/>
      <c r="F155" s="313"/>
      <c r="G155" s="314"/>
    </row>
    <row r="163" spans="4:7" x14ac:dyDescent="0.25">
      <c r="D163" s="313"/>
      <c r="F163" s="313"/>
      <c r="G163" s="314"/>
    </row>
    <row r="171" spans="4:7" x14ac:dyDescent="0.25">
      <c r="D171" s="313"/>
      <c r="F171" s="313"/>
      <c r="G171" s="314"/>
    </row>
    <row r="179" spans="4:7" x14ac:dyDescent="0.25">
      <c r="D179" s="313"/>
      <c r="F179" s="313"/>
      <c r="G179" s="314"/>
    </row>
  </sheetData>
  <sheetProtection password="CEBE" sheet="1" objects="1" scenarios="1" insertRows="0"/>
  <mergeCells count="2">
    <mergeCell ref="I21:L21"/>
    <mergeCell ref="D21:G21"/>
  </mergeCells>
  <phoneticPr fontId="24" type="noConversion"/>
  <pageMargins left="0.25" right="0" top="0.5" bottom="0.5" header="0.25" footer="0.25"/>
  <pageSetup scale="8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8"/>
  <sheetViews>
    <sheetView zoomScaleNormal="100" workbookViewId="0">
      <selection activeCell="I27" sqref="I27"/>
    </sheetView>
  </sheetViews>
  <sheetFormatPr defaultColWidth="9.140625" defaultRowHeight="15" x14ac:dyDescent="0.25"/>
  <cols>
    <col min="1" max="1" width="30.42578125" style="228" customWidth="1"/>
    <col min="2" max="2" width="12.5703125" style="228" customWidth="1"/>
    <col min="3" max="3" width="10.7109375" style="228" customWidth="1"/>
    <col min="4" max="4" width="18.7109375" style="228" customWidth="1"/>
    <col min="5" max="5" width="11.42578125" style="228" customWidth="1"/>
    <col min="6" max="7" width="9.140625" style="228"/>
    <col min="8" max="8" width="10.5703125" style="228" bestFit="1" customWidth="1"/>
    <col min="9" max="16384" width="9.140625" style="228"/>
  </cols>
  <sheetData>
    <row r="1" spans="1:6" ht="18" x14ac:dyDescent="0.35">
      <c r="A1" s="269" t="s">
        <v>163</v>
      </c>
    </row>
    <row r="2" spans="1:6" ht="18" x14ac:dyDescent="0.35">
      <c r="A2" s="272" t="s">
        <v>280</v>
      </c>
    </row>
    <row r="4" spans="1:6" s="339" customFormat="1" ht="30.75" customHeight="1" x14ac:dyDescent="0.3">
      <c r="A4" s="527" t="s">
        <v>205</v>
      </c>
      <c r="B4" s="528"/>
      <c r="C4" s="528"/>
      <c r="D4" s="528"/>
      <c r="E4" s="528"/>
      <c r="F4" s="529"/>
    </row>
    <row r="5" spans="1:6" ht="28.9" x14ac:dyDescent="0.3">
      <c r="A5" s="340" t="s">
        <v>110</v>
      </c>
      <c r="B5" s="341" t="s">
        <v>206</v>
      </c>
      <c r="C5" s="342" t="s">
        <v>212</v>
      </c>
    </row>
    <row r="6" spans="1:6" ht="14.45" x14ac:dyDescent="0.3">
      <c r="A6" s="343" t="s">
        <v>111</v>
      </c>
      <c r="B6" s="38">
        <v>138.97</v>
      </c>
      <c r="C6" s="99">
        <v>0.3</v>
      </c>
      <c r="E6" s="344" t="s">
        <v>168</v>
      </c>
      <c r="F6" s="73">
        <v>0.57999999999999996</v>
      </c>
    </row>
    <row r="7" spans="1:6" ht="14.45" x14ac:dyDescent="0.3">
      <c r="A7" s="343" t="s">
        <v>112</v>
      </c>
      <c r="B7" s="38">
        <v>138.97</v>
      </c>
      <c r="C7" s="99">
        <v>0.28999999999999998</v>
      </c>
    </row>
    <row r="8" spans="1:6" ht="14.45" x14ac:dyDescent="0.3">
      <c r="A8" s="343" t="s">
        <v>113</v>
      </c>
      <c r="B8" s="38">
        <v>65</v>
      </c>
      <c r="C8" s="99">
        <v>0.23</v>
      </c>
      <c r="E8" s="345" t="s">
        <v>232</v>
      </c>
      <c r="F8" s="72">
        <v>12000</v>
      </c>
    </row>
    <row r="9" spans="1:6" ht="14.45" x14ac:dyDescent="0.3">
      <c r="A9" s="343" t="s">
        <v>114</v>
      </c>
      <c r="B9" s="38">
        <f>B6*0.5</f>
        <v>69.484999999999999</v>
      </c>
      <c r="C9" s="99">
        <v>0.05</v>
      </c>
    </row>
    <row r="10" spans="1:6" ht="14.45" x14ac:dyDescent="0.3">
      <c r="A10" s="374" t="s">
        <v>396</v>
      </c>
      <c r="B10" s="38">
        <v>0</v>
      </c>
      <c r="C10" s="99">
        <v>0.03</v>
      </c>
    </row>
    <row r="11" spans="1:6" ht="14.45" x14ac:dyDescent="0.3">
      <c r="A11" s="374" t="s">
        <v>397</v>
      </c>
      <c r="B11" s="38"/>
      <c r="C11" s="99">
        <v>0.03</v>
      </c>
    </row>
    <row r="12" spans="1:6" ht="14.45" x14ac:dyDescent="0.3">
      <c r="A12" s="343" t="s">
        <v>116</v>
      </c>
      <c r="B12" s="38">
        <v>62</v>
      </c>
      <c r="C12" s="99">
        <v>7.0000000000000007E-2</v>
      </c>
    </row>
    <row r="13" spans="1:6" ht="14.45" x14ac:dyDescent="0.3">
      <c r="A13" s="346"/>
      <c r="B13" s="505">
        <f>ROUND((B6*C6)+(B7*C7)+(B8*C8)+(B9*C9)+(B11*C11)+(B12*C12),2)</f>
        <v>104.76</v>
      </c>
      <c r="C13" s="359">
        <f>SUM(C6:C12)</f>
        <v>1</v>
      </c>
    </row>
    <row r="15" spans="1:6" ht="14.45" x14ac:dyDescent="0.3">
      <c r="A15" s="525" t="s">
        <v>240</v>
      </c>
      <c r="B15" s="526"/>
      <c r="C15" s="526"/>
      <c r="D15" s="534"/>
      <c r="E15" s="535"/>
      <c r="F15" s="535"/>
    </row>
    <row r="16" spans="1:6" ht="30" x14ac:dyDescent="0.25">
      <c r="A16" s="347"/>
      <c r="B16" s="348" t="s">
        <v>100</v>
      </c>
      <c r="C16" s="349" t="s">
        <v>109</v>
      </c>
      <c r="D16" s="348" t="s">
        <v>208</v>
      </c>
      <c r="E16" s="348" t="s">
        <v>101</v>
      </c>
    </row>
    <row r="17" spans="1:8" x14ac:dyDescent="0.25">
      <c r="A17" s="350" t="s">
        <v>207</v>
      </c>
      <c r="B17" s="360">
        <f>'Employee Direct Care'!C9</f>
        <v>5.55</v>
      </c>
      <c r="C17" s="361">
        <f>ROUND(('Employee Direct Care'!C5*52)*F6,0)</f>
        <v>1206</v>
      </c>
      <c r="D17" s="361">
        <f>ROUND(C17*B17,0)</f>
        <v>6693</v>
      </c>
      <c r="E17" s="362">
        <f>'Employee Direct Care'!D9+'Employee Direct Care'!E9</f>
        <v>279082.11200000002</v>
      </c>
      <c r="H17" s="352"/>
    </row>
    <row r="18" spans="1:8" x14ac:dyDescent="0.25">
      <c r="A18" s="350" t="s">
        <v>209</v>
      </c>
      <c r="B18" s="360">
        <f>'FFS-Contracted Direct Care'!C7</f>
        <v>3.35</v>
      </c>
      <c r="C18" s="361">
        <f>ROUND(D18/B18,0)</f>
        <v>1875</v>
      </c>
      <c r="D18" s="361">
        <f>ROUND('FFS-Contracted Direct Care'!E7,0)</f>
        <v>6282</v>
      </c>
      <c r="E18" s="362">
        <f>'FFS-Contracted Direct Care'!D7</f>
        <v>490360</v>
      </c>
      <c r="G18" s="502"/>
    </row>
    <row r="19" spans="1:8" x14ac:dyDescent="0.25">
      <c r="A19" s="350" t="s">
        <v>188</v>
      </c>
      <c r="E19" s="362">
        <f>'Indirect Care Costs'!K15</f>
        <v>597487.96</v>
      </c>
    </row>
    <row r="20" spans="1:8" s="291" customFormat="1" ht="15.75" thickBot="1" x14ac:dyDescent="0.3">
      <c r="A20" s="350" t="s">
        <v>211</v>
      </c>
      <c r="B20" s="365">
        <f>SUM(B17:B19)</f>
        <v>8.9</v>
      </c>
      <c r="C20" s="353"/>
      <c r="D20" s="364">
        <f>SUM(D17:D19)</f>
        <v>12975</v>
      </c>
      <c r="E20" s="363">
        <f>SUM(E17:E19)</f>
        <v>1366930.0719999999</v>
      </c>
    </row>
    <row r="21" spans="1:8" x14ac:dyDescent="0.25">
      <c r="A21" s="354"/>
      <c r="B21" s="352"/>
      <c r="D21" s="351"/>
      <c r="E21" s="355"/>
    </row>
    <row r="22" spans="1:8" x14ac:dyDescent="0.25">
      <c r="A22" s="356" t="s">
        <v>216</v>
      </c>
      <c r="B22" s="357">
        <f>ROUND(1-E19/E20,2)</f>
        <v>0.56000000000000005</v>
      </c>
    </row>
    <row r="23" spans="1:8" x14ac:dyDescent="0.25">
      <c r="A23" s="530" t="s">
        <v>217</v>
      </c>
      <c r="B23" s="531"/>
      <c r="C23" s="531"/>
      <c r="D23" s="532"/>
      <c r="E23" s="533"/>
      <c r="F23" s="533"/>
    </row>
    <row r="24" spans="1:8" x14ac:dyDescent="0.25">
      <c r="B24" s="356" t="s">
        <v>213</v>
      </c>
      <c r="C24" s="356" t="s">
        <v>214</v>
      </c>
    </row>
    <row r="25" spans="1:8" x14ac:dyDescent="0.25">
      <c r="A25" s="356" t="s">
        <v>215</v>
      </c>
      <c r="B25" s="366">
        <f>E20</f>
        <v>1366930.0719999999</v>
      </c>
      <c r="C25" s="367">
        <f>E20/D20</f>
        <v>105.35106527938342</v>
      </c>
    </row>
    <row r="26" spans="1:8" x14ac:dyDescent="0.25">
      <c r="A26" s="356" t="s">
        <v>210</v>
      </c>
      <c r="B26" s="366">
        <f>ROUND((((B6*C6)+(B7*C7)+(B8*C8)+(B9*C9)+(B10*C10)+(B12*C12))*D20)+F8,0)</f>
        <v>1371216</v>
      </c>
      <c r="C26" s="367">
        <f>ROUND(B26/D20,2)</f>
        <v>105.68</v>
      </c>
    </row>
    <row r="28" spans="1:8" ht="15.75" x14ac:dyDescent="0.25">
      <c r="A28" s="358" t="s">
        <v>117</v>
      </c>
      <c r="B28" s="368">
        <f>B26-B25</f>
        <v>4285.9280000000726</v>
      </c>
      <c r="C28" s="369">
        <f>C26-C25</f>
        <v>0.32893472061658713</v>
      </c>
    </row>
  </sheetData>
  <sheetProtection password="CEBE" sheet="1" objects="1" scenarios="1"/>
  <mergeCells count="3">
    <mergeCell ref="A4:F4"/>
    <mergeCell ref="A23:F23"/>
    <mergeCell ref="A15:F15"/>
  </mergeCells>
  <conditionalFormatting sqref="B28:C28">
    <cfRule type="cellIs" dxfId="67" priority="1" operator="greaterThan">
      <formula>0</formula>
    </cfRule>
    <cfRule type="cellIs" dxfId="66" priority="2" operator="lessThan">
      <formula>0</formula>
    </cfRule>
  </conditionalFormatting>
  <printOptions horizontalCentered="1"/>
  <pageMargins left="0.25" right="0" top="0.5" bottom="0.5" header="0.25" footer="0.25"/>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E22" sqref="E22"/>
    </sheetView>
  </sheetViews>
  <sheetFormatPr defaultRowHeight="15" x14ac:dyDescent="0.25"/>
  <cols>
    <col min="1" max="1" width="29.140625" customWidth="1"/>
    <col min="2" max="2" width="9.28515625" bestFit="1" customWidth="1"/>
    <col min="4" max="4" width="25.28515625" customWidth="1"/>
    <col min="5" max="5" width="11.85546875" bestFit="1" customWidth="1"/>
  </cols>
  <sheetData>
    <row r="1" spans="1:7" ht="18" x14ac:dyDescent="0.35">
      <c r="A1" s="88" t="s">
        <v>163</v>
      </c>
    </row>
    <row r="2" spans="1:7" ht="18" x14ac:dyDescent="0.35">
      <c r="A2" s="89" t="s">
        <v>222</v>
      </c>
    </row>
    <row r="4" spans="1:7" ht="14.45" x14ac:dyDescent="0.3">
      <c r="A4" s="536" t="s">
        <v>222</v>
      </c>
      <c r="B4" s="536"/>
      <c r="C4" s="536"/>
      <c r="D4" s="536"/>
      <c r="E4" s="536"/>
    </row>
    <row r="6" spans="1:7" ht="14.45" x14ac:dyDescent="0.3">
      <c r="A6" s="75" t="s">
        <v>218</v>
      </c>
      <c r="D6" s="75" t="s">
        <v>215</v>
      </c>
    </row>
    <row r="7" spans="1:7" ht="17.25" customHeight="1" x14ac:dyDescent="0.3">
      <c r="A7" s="143" t="s">
        <v>223</v>
      </c>
      <c r="B7" s="80">
        <f>'Model Analysis'!F6</f>
        <v>0.57999999999999996</v>
      </c>
      <c r="D7" t="s">
        <v>99</v>
      </c>
      <c r="E7" s="76">
        <f>ROUND('Employee Direct Care'!D9+'Indirect Care Costs'!K7,0)</f>
        <v>428536</v>
      </c>
    </row>
    <row r="8" spans="1:7" ht="14.45" x14ac:dyDescent="0.3">
      <c r="A8" s="105"/>
      <c r="B8" s="80"/>
      <c r="D8" t="s">
        <v>102</v>
      </c>
      <c r="E8" s="76">
        <f>ROUND('Employee Direct Care'!E9+'Indirect Care Costs'!K8,0)</f>
        <v>119990</v>
      </c>
    </row>
    <row r="9" spans="1:7" ht="14.45" x14ac:dyDescent="0.3">
      <c r="A9" t="s">
        <v>233</v>
      </c>
      <c r="B9" s="81">
        <f>'Model Analysis'!C17</f>
        <v>1206</v>
      </c>
      <c r="D9" t="s">
        <v>103</v>
      </c>
      <c r="E9" s="76">
        <f>ROUND('Indirect Care Costs'!K10+'FFS-Contracted Direct Care'!D7+'FFS-Contracted Direct Care'!D8,0)</f>
        <v>633100</v>
      </c>
    </row>
    <row r="10" spans="1:7" ht="14.45" x14ac:dyDescent="0.3">
      <c r="A10" t="s">
        <v>267</v>
      </c>
      <c r="B10" s="81">
        <f>'Model Analysis'!C18</f>
        <v>1875</v>
      </c>
      <c r="D10" t="s">
        <v>104</v>
      </c>
      <c r="E10" s="76">
        <f>'Indirect Care Costs'!K11</f>
        <v>5200</v>
      </c>
    </row>
    <row r="11" spans="1:7" thickBot="1" x14ac:dyDescent="0.35">
      <c r="A11" s="36" t="s">
        <v>234</v>
      </c>
      <c r="B11" s="102">
        <f>'Model Analysis'!D20</f>
        <v>12975</v>
      </c>
      <c r="D11" t="s">
        <v>105</v>
      </c>
      <c r="E11" s="76">
        <f>'Indirect Care Costs'!K12</f>
        <v>50125</v>
      </c>
    </row>
    <row r="12" spans="1:7" thickTop="1" x14ac:dyDescent="0.3">
      <c r="D12" t="s">
        <v>106</v>
      </c>
      <c r="E12" s="76">
        <f>'Indirect Care Costs'!K13</f>
        <v>129978.86</v>
      </c>
    </row>
    <row r="13" spans="1:7" thickBot="1" x14ac:dyDescent="0.35">
      <c r="A13" t="s">
        <v>269</v>
      </c>
      <c r="B13" s="103">
        <f>'Model Analysis'!B17</f>
        <v>5.55</v>
      </c>
      <c r="D13" t="s">
        <v>221</v>
      </c>
      <c r="E13" s="77">
        <f>SUM(E7:E12)</f>
        <v>1366929.86</v>
      </c>
    </row>
    <row r="14" spans="1:7" ht="14.45" x14ac:dyDescent="0.3">
      <c r="A14" t="s">
        <v>270</v>
      </c>
      <c r="B14" s="103">
        <f>'Model Analysis'!B18</f>
        <v>3.35</v>
      </c>
      <c r="E14" s="78"/>
      <c r="G14" s="35"/>
    </row>
    <row r="15" spans="1:7" thickBot="1" x14ac:dyDescent="0.35">
      <c r="A15" t="s">
        <v>271</v>
      </c>
      <c r="B15" s="104">
        <f>SUM(B13:B14)</f>
        <v>8.9</v>
      </c>
      <c r="D15" s="75" t="s">
        <v>210</v>
      </c>
      <c r="E15" s="78"/>
    </row>
    <row r="16" spans="1:7" thickTop="1" x14ac:dyDescent="0.3">
      <c r="B16" s="78"/>
      <c r="D16" s="74" t="s">
        <v>111</v>
      </c>
      <c r="E16" s="76">
        <f>ROUND('Model Analysis'!D20*'Model Analysis'!C6*'Model Analysis'!B6,0)</f>
        <v>540941</v>
      </c>
    </row>
    <row r="17" spans="1:7" ht="14.45" x14ac:dyDescent="0.3">
      <c r="A17" s="75" t="s">
        <v>212</v>
      </c>
      <c r="D17" s="74" t="s">
        <v>112</v>
      </c>
      <c r="E17" s="76">
        <f>ROUND('Model Analysis'!D20*'Model Analysis'!C7*'Model Analysis'!B7,0)</f>
        <v>522909</v>
      </c>
    </row>
    <row r="18" spans="1:7" x14ac:dyDescent="0.25">
      <c r="A18" t="s">
        <v>111</v>
      </c>
      <c r="B18" s="80">
        <f>'Model Analysis'!C6</f>
        <v>0.3</v>
      </c>
      <c r="D18" s="74" t="s">
        <v>113</v>
      </c>
      <c r="E18" s="76">
        <f>ROUND('Model Analysis'!D20*'Model Analysis'!C8*'Model Analysis'!B8,0)</f>
        <v>193976</v>
      </c>
    </row>
    <row r="19" spans="1:7" x14ac:dyDescent="0.25">
      <c r="A19" t="s">
        <v>112</v>
      </c>
      <c r="B19" s="80">
        <f>'Model Analysis'!C7</f>
        <v>0.28999999999999998</v>
      </c>
      <c r="D19" s="74" t="s">
        <v>114</v>
      </c>
      <c r="E19" s="76">
        <f>ROUND('Model Analysis'!D20*'Model Analysis'!C9*'Model Analysis'!B9,0)</f>
        <v>45078</v>
      </c>
    </row>
    <row r="20" spans="1:7" x14ac:dyDescent="0.25">
      <c r="A20" t="s">
        <v>113</v>
      </c>
      <c r="B20" s="80">
        <f>'Model Analysis'!C8</f>
        <v>0.23</v>
      </c>
      <c r="D20" s="74" t="s">
        <v>116</v>
      </c>
      <c r="E20" s="76">
        <f>ROUND('Model Analysis'!D20*'Model Analysis'!C12*'Model Analysis'!B12,0)</f>
        <v>56312</v>
      </c>
    </row>
    <row r="21" spans="1:7" x14ac:dyDescent="0.25">
      <c r="A21" t="s">
        <v>114</v>
      </c>
      <c r="B21" s="80">
        <f>'Model Analysis'!C9</f>
        <v>0.05</v>
      </c>
      <c r="D21" s="83" t="s">
        <v>235</v>
      </c>
      <c r="E21" s="76">
        <f>'Model Analysis'!F8</f>
        <v>12000</v>
      </c>
    </row>
    <row r="22" spans="1:7" ht="15.75" thickBot="1" x14ac:dyDescent="0.3">
      <c r="A22" t="s">
        <v>396</v>
      </c>
      <c r="B22" s="80">
        <f>'Model Analysis'!C10</f>
        <v>0.03</v>
      </c>
      <c r="E22" s="77">
        <f>SUM(E16:E21)</f>
        <v>1371216</v>
      </c>
      <c r="G22" s="35"/>
    </row>
    <row r="23" spans="1:7" x14ac:dyDescent="0.25">
      <c r="A23" t="s">
        <v>115</v>
      </c>
      <c r="B23" s="80">
        <f>'Model Analysis'!C11</f>
        <v>0.03</v>
      </c>
      <c r="E23" s="78"/>
    </row>
    <row r="24" spans="1:7" x14ac:dyDescent="0.25">
      <c r="A24" t="s">
        <v>116</v>
      </c>
      <c r="B24" s="80">
        <f>'Model Analysis'!C12</f>
        <v>7.0000000000000007E-2</v>
      </c>
      <c r="D24" s="75" t="s">
        <v>117</v>
      </c>
      <c r="E24" s="79">
        <f>E22-E13</f>
        <v>4286.1399999998976</v>
      </c>
    </row>
    <row r="25" spans="1:7" ht="15.75" thickBot="1" x14ac:dyDescent="0.3">
      <c r="A25" s="71" t="s">
        <v>224</v>
      </c>
      <c r="B25" s="84">
        <f>SUM(B18:B24)</f>
        <v>1</v>
      </c>
    </row>
    <row r="26" spans="1:7" ht="15.75" thickTop="1" x14ac:dyDescent="0.25"/>
    <row r="27" spans="1:7" x14ac:dyDescent="0.25">
      <c r="A27" s="75" t="s">
        <v>219</v>
      </c>
      <c r="B27" s="82">
        <f>'Model Analysis'!C25</f>
        <v>105.35106527938342</v>
      </c>
    </row>
    <row r="28" spans="1:7" x14ac:dyDescent="0.25">
      <c r="B28" s="78"/>
    </row>
    <row r="29" spans="1:7" x14ac:dyDescent="0.25">
      <c r="A29" s="75" t="s">
        <v>220</v>
      </c>
      <c r="B29" s="82">
        <f>'Model Analysis'!C26</f>
        <v>105.68</v>
      </c>
    </row>
    <row r="30" spans="1:7" x14ac:dyDescent="0.25">
      <c r="B30" s="78"/>
    </row>
    <row r="31" spans="1:7" x14ac:dyDescent="0.25">
      <c r="A31" s="75" t="s">
        <v>329</v>
      </c>
      <c r="B31" s="82">
        <f>'Model Analysis'!C28</f>
        <v>0.32893472061658713</v>
      </c>
    </row>
    <row r="33" spans="1:2" x14ac:dyDescent="0.25">
      <c r="A33" s="75" t="s">
        <v>216</v>
      </c>
      <c r="B33" s="80">
        <f>'Model Analysis'!B22</f>
        <v>0.56000000000000005</v>
      </c>
    </row>
  </sheetData>
  <sheetProtection password="CEBE" sheet="1" objects="1" scenarios="1"/>
  <mergeCells count="1">
    <mergeCell ref="A4:E4"/>
  </mergeCells>
  <printOptions horizontalCentered="1"/>
  <pageMargins left="0.25" right="0"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2"/>
  <sheetViews>
    <sheetView zoomScaleNormal="100" workbookViewId="0">
      <selection activeCell="B11" sqref="B11"/>
    </sheetView>
  </sheetViews>
  <sheetFormatPr defaultColWidth="9.140625" defaultRowHeight="15" x14ac:dyDescent="0.25"/>
  <cols>
    <col min="1" max="1" width="30.42578125" style="228" customWidth="1"/>
    <col min="2" max="2" width="11.5703125" style="228" bestFit="1" customWidth="1"/>
    <col min="3" max="3" width="12.42578125" style="228" customWidth="1"/>
    <col min="4" max="4" width="15" style="228" customWidth="1"/>
    <col min="5" max="5" width="26.85546875" style="228" customWidth="1"/>
    <col min="6" max="6" width="21.85546875" style="228" bestFit="1" customWidth="1"/>
    <col min="7" max="7" width="14.5703125" style="370" customWidth="1"/>
    <col min="8" max="8" width="9.140625" style="228"/>
    <col min="9" max="9" width="10.5703125" style="228" bestFit="1" customWidth="1"/>
    <col min="10" max="10" width="11.5703125" style="228" bestFit="1" customWidth="1"/>
    <col min="11" max="16384" width="9.140625" style="228"/>
  </cols>
  <sheetData>
    <row r="1" spans="1:10" ht="18" x14ac:dyDescent="0.35">
      <c r="A1" s="269" t="s">
        <v>163</v>
      </c>
    </row>
    <row r="2" spans="1:10" ht="18" x14ac:dyDescent="0.35">
      <c r="A2" s="272" t="s">
        <v>282</v>
      </c>
    </row>
    <row r="4" spans="1:10" ht="14.45" x14ac:dyDescent="0.3">
      <c r="A4" s="537" t="s">
        <v>205</v>
      </c>
      <c r="B4" s="538"/>
      <c r="C4" s="538"/>
      <c r="D4" s="538"/>
      <c r="E4" s="538"/>
      <c r="F4" s="538"/>
      <c r="G4" s="538"/>
      <c r="H4" s="539"/>
    </row>
    <row r="5" spans="1:10" ht="18.75" customHeight="1" x14ac:dyDescent="0.3">
      <c r="A5" s="340" t="s">
        <v>110</v>
      </c>
      <c r="B5" s="341" t="s">
        <v>247</v>
      </c>
      <c r="C5" s="342" t="s">
        <v>212</v>
      </c>
      <c r="D5" s="370"/>
      <c r="E5" s="371" t="s">
        <v>168</v>
      </c>
      <c r="F5" s="144">
        <v>0.57999999999999996</v>
      </c>
    </row>
    <row r="6" spans="1:10" ht="14.45" x14ac:dyDescent="0.3">
      <c r="A6" s="343" t="s">
        <v>111</v>
      </c>
      <c r="B6" s="38">
        <v>138.97</v>
      </c>
      <c r="C6" s="99">
        <v>0.3</v>
      </c>
      <c r="D6" s="370"/>
      <c r="E6" s="372" t="s">
        <v>242</v>
      </c>
      <c r="F6" s="97">
        <v>40</v>
      </c>
    </row>
    <row r="7" spans="1:10" ht="14.45" x14ac:dyDescent="0.3">
      <c r="A7" s="343" t="s">
        <v>112</v>
      </c>
      <c r="B7" s="38">
        <v>138.97</v>
      </c>
      <c r="C7" s="99">
        <v>0.28999999999999998</v>
      </c>
      <c r="D7" s="507"/>
      <c r="E7" s="372" t="s">
        <v>264</v>
      </c>
      <c r="F7" s="98">
        <v>45</v>
      </c>
      <c r="I7" s="223"/>
      <c r="J7" s="223"/>
    </row>
    <row r="8" spans="1:10" ht="14.45" x14ac:dyDescent="0.3">
      <c r="A8" s="343" t="s">
        <v>113</v>
      </c>
      <c r="B8" s="38">
        <v>65</v>
      </c>
      <c r="C8" s="99">
        <v>0.23</v>
      </c>
      <c r="D8" s="370"/>
      <c r="E8" s="372" t="s">
        <v>399</v>
      </c>
      <c r="F8" s="97">
        <v>0.8</v>
      </c>
      <c r="I8" s="373"/>
    </row>
    <row r="9" spans="1:10" ht="14.45" x14ac:dyDescent="0.3">
      <c r="A9" s="343" t="s">
        <v>114</v>
      </c>
      <c r="B9" s="38">
        <f>B6*0.5</f>
        <v>69.484999999999999</v>
      </c>
      <c r="C9" s="99">
        <v>0.05</v>
      </c>
      <c r="D9" s="370"/>
      <c r="E9" s="372" t="s">
        <v>266</v>
      </c>
      <c r="F9" s="97">
        <v>1.2</v>
      </c>
      <c r="I9" s="373"/>
    </row>
    <row r="10" spans="1:10" ht="14.45" x14ac:dyDescent="0.3">
      <c r="A10" s="374" t="s">
        <v>396</v>
      </c>
      <c r="B10" s="38">
        <v>0</v>
      </c>
      <c r="C10" s="99">
        <v>0.03</v>
      </c>
      <c r="D10" s="370"/>
      <c r="E10" s="372" t="s">
        <v>246</v>
      </c>
      <c r="F10" s="97">
        <v>52</v>
      </c>
    </row>
    <row r="11" spans="1:10" ht="14.45" x14ac:dyDescent="0.3">
      <c r="A11" s="374" t="s">
        <v>397</v>
      </c>
      <c r="B11" s="38"/>
      <c r="C11" s="99">
        <v>0.03</v>
      </c>
      <c r="D11" s="370"/>
      <c r="E11" s="375" t="s">
        <v>268</v>
      </c>
      <c r="F11" s="100">
        <v>0.15</v>
      </c>
    </row>
    <row r="12" spans="1:10" ht="14.45" x14ac:dyDescent="0.3">
      <c r="A12" s="343" t="s">
        <v>116</v>
      </c>
      <c r="B12" s="38">
        <v>62</v>
      </c>
      <c r="C12" s="99">
        <v>7.0000000000000007E-2</v>
      </c>
      <c r="D12" s="370"/>
      <c r="E12" s="375" t="s">
        <v>232</v>
      </c>
      <c r="F12" s="72">
        <v>12000</v>
      </c>
    </row>
    <row r="13" spans="1:10" ht="14.45" x14ac:dyDescent="0.3">
      <c r="A13" s="376" t="s">
        <v>332</v>
      </c>
      <c r="B13" s="380">
        <f>ROUND((B6*C6)+(B7*C7)+(B8*C8)+(B9*C9)+(B11*C11)+(B12*C12),2)</f>
        <v>104.76</v>
      </c>
      <c r="C13" s="381">
        <f>SUM(C6:C12)</f>
        <v>1</v>
      </c>
      <c r="D13" s="150"/>
      <c r="E13" s="291"/>
      <c r="F13" s="291"/>
      <c r="G13" s="377"/>
      <c r="H13" s="291"/>
    </row>
    <row r="14" spans="1:10" ht="26.25" customHeight="1" x14ac:dyDescent="0.3">
      <c r="A14" s="493" t="s">
        <v>241</v>
      </c>
      <c r="B14" s="494"/>
      <c r="C14" s="494"/>
      <c r="D14" s="494"/>
      <c r="E14" s="494"/>
      <c r="F14" s="494"/>
      <c r="G14" s="494"/>
      <c r="H14" s="495"/>
    </row>
    <row r="15" spans="1:10" ht="28.9" x14ac:dyDescent="0.3">
      <c r="A15" s="347"/>
      <c r="B15" s="348" t="s">
        <v>100</v>
      </c>
      <c r="C15" s="349" t="s">
        <v>109</v>
      </c>
      <c r="D15" s="348" t="s">
        <v>208</v>
      </c>
      <c r="E15" s="378" t="s">
        <v>243</v>
      </c>
      <c r="F15" s="348" t="s">
        <v>101</v>
      </c>
      <c r="G15" s="379" t="s">
        <v>244</v>
      </c>
      <c r="H15" s="379" t="s">
        <v>248</v>
      </c>
      <c r="J15" s="352"/>
    </row>
    <row r="16" spans="1:10" x14ac:dyDescent="0.25">
      <c r="A16" s="350" t="s">
        <v>245</v>
      </c>
      <c r="B16" s="97">
        <v>5.55</v>
      </c>
      <c r="C16" s="382">
        <f>(F6*52)*F5</f>
        <v>1206.3999999999999</v>
      </c>
      <c r="D16" s="383">
        <f>C16*B16</f>
        <v>6695.5199999999986</v>
      </c>
      <c r="E16" s="101">
        <v>50285</v>
      </c>
      <c r="F16" s="385">
        <f>E16*B16</f>
        <v>279081.75</v>
      </c>
      <c r="G16" s="385">
        <f>D16*B13</f>
        <v>701422.67519999994</v>
      </c>
      <c r="H16" s="386">
        <f>G16/F16</f>
        <v>2.5133233369792181</v>
      </c>
    </row>
    <row r="17" spans="1:10" x14ac:dyDescent="0.25">
      <c r="A17" s="350" t="s">
        <v>265</v>
      </c>
      <c r="B17" s="97">
        <v>2.5</v>
      </c>
      <c r="C17" s="382">
        <f>F6*52*F8</f>
        <v>1664</v>
      </c>
      <c r="D17" s="383">
        <f>B17*C17</f>
        <v>4160</v>
      </c>
      <c r="E17" s="384">
        <f>F6*52*F7</f>
        <v>93600</v>
      </c>
      <c r="F17" s="385">
        <f>E17*B17</f>
        <v>234000</v>
      </c>
      <c r="G17" s="385">
        <f>D17*B13</f>
        <v>435801.60000000003</v>
      </c>
      <c r="H17" s="386">
        <f t="shared" ref="H17:H18" si="0">G17/F17</f>
        <v>1.8624000000000001</v>
      </c>
      <c r="J17" s="501"/>
    </row>
    <row r="18" spans="1:10" x14ac:dyDescent="0.25">
      <c r="A18" s="350" t="s">
        <v>25</v>
      </c>
      <c r="B18" s="97">
        <v>1</v>
      </c>
      <c r="C18" s="382">
        <f>F6*F10*F9*(1-F11)</f>
        <v>2121.6</v>
      </c>
      <c r="D18" s="383">
        <f>C18*B18</f>
        <v>2121.6</v>
      </c>
      <c r="E18" s="101">
        <v>256360</v>
      </c>
      <c r="F18" s="385">
        <f>E18*B18</f>
        <v>256360</v>
      </c>
      <c r="G18" s="385">
        <f>D18*B13</f>
        <v>222258.81599999999</v>
      </c>
      <c r="H18" s="386">
        <f t="shared" si="0"/>
        <v>0.86697931034482756</v>
      </c>
    </row>
    <row r="19" spans="1:10" s="206" customFormat="1" x14ac:dyDescent="0.25">
      <c r="A19" s="350" t="s">
        <v>188</v>
      </c>
      <c r="B19" s="228"/>
      <c r="C19" s="228"/>
      <c r="D19" s="228"/>
      <c r="E19" s="228"/>
      <c r="F19" s="145">
        <v>597488</v>
      </c>
      <c r="H19" s="228"/>
    </row>
    <row r="20" spans="1:10" x14ac:dyDescent="0.25">
      <c r="A20" s="350" t="s">
        <v>211</v>
      </c>
      <c r="B20" s="388">
        <f>SUM(B16:B19)</f>
        <v>9.0500000000000007</v>
      </c>
      <c r="C20" s="206"/>
      <c r="D20" s="383">
        <f>SUM(D16:D19)</f>
        <v>12977.119999999999</v>
      </c>
      <c r="E20" s="206"/>
      <c r="F20" s="387">
        <f>F16+F17+F18+F19</f>
        <v>1366929.75</v>
      </c>
      <c r="G20" s="385">
        <f>SUM(G16:G18)+F12</f>
        <v>1371483.0912000001</v>
      </c>
      <c r="H20" s="206"/>
    </row>
    <row r="21" spans="1:10" x14ac:dyDescent="0.25">
      <c r="A21" s="350"/>
      <c r="B21" s="352"/>
      <c r="D21" s="351"/>
      <c r="E21" s="355"/>
      <c r="F21" s="506"/>
    </row>
    <row r="22" spans="1:10" x14ac:dyDescent="0.25">
      <c r="A22" s="356" t="s">
        <v>216</v>
      </c>
      <c r="B22" s="389">
        <f>ROUND(1-F19/F20,2)</f>
        <v>0.56000000000000005</v>
      </c>
      <c r="F22" s="504"/>
    </row>
    <row r="23" spans="1:10" x14ac:dyDescent="0.25">
      <c r="A23" s="496" t="s">
        <v>217</v>
      </c>
      <c r="B23" s="497"/>
      <c r="C23" s="497"/>
      <c r="D23" s="497"/>
      <c r="E23" s="497"/>
      <c r="F23" s="497"/>
      <c r="G23" s="497"/>
      <c r="H23" s="498"/>
    </row>
    <row r="24" spans="1:10" x14ac:dyDescent="0.25">
      <c r="B24" s="356" t="s">
        <v>213</v>
      </c>
      <c r="C24" s="356" t="s">
        <v>214</v>
      </c>
    </row>
    <row r="25" spans="1:10" x14ac:dyDescent="0.25">
      <c r="A25" s="356" t="s">
        <v>215</v>
      </c>
      <c r="B25" s="366">
        <f>F20</f>
        <v>1366929.75</v>
      </c>
      <c r="C25" s="367">
        <f>F20/D20</f>
        <v>105.33382984822519</v>
      </c>
    </row>
    <row r="26" spans="1:10" x14ac:dyDescent="0.25">
      <c r="A26" s="356" t="s">
        <v>210</v>
      </c>
      <c r="B26" s="390">
        <f>G20</f>
        <v>1371483.0912000001</v>
      </c>
      <c r="C26" s="367">
        <f>ROUND(B26/D20,2)</f>
        <v>105.68</v>
      </c>
    </row>
    <row r="27" spans="1:10" ht="15.75" x14ac:dyDescent="0.25">
      <c r="A27" s="358" t="s">
        <v>117</v>
      </c>
      <c r="B27" s="368">
        <f>B26-B25</f>
        <v>4553.3412000001408</v>
      </c>
      <c r="C27" s="369">
        <f>C26-C25</f>
        <v>0.34617015177481392</v>
      </c>
      <c r="E27" s="352"/>
    </row>
    <row r="28" spans="1:10" x14ac:dyDescent="0.25">
      <c r="B28" s="503"/>
    </row>
    <row r="32" spans="1:10" x14ac:dyDescent="0.25">
      <c r="E32" s="370"/>
    </row>
  </sheetData>
  <sheetProtection password="CEBE" sheet="1" objects="1" scenarios="1"/>
  <mergeCells count="1">
    <mergeCell ref="A4:H4"/>
  </mergeCells>
  <conditionalFormatting sqref="B27:C27">
    <cfRule type="cellIs" dxfId="65" priority="1" operator="greaterThan">
      <formula>0</formula>
    </cfRule>
    <cfRule type="cellIs" dxfId="64" priority="2" operator="lessThan">
      <formula>0</formula>
    </cfRule>
  </conditionalFormatting>
  <pageMargins left="0.25" right="0" top="0.5" bottom="0.5" header="0.25" footer="0.25"/>
  <pageSetup scale="94"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137"/>
  <sheetViews>
    <sheetView zoomScale="110" zoomScaleNormal="110" workbookViewId="0">
      <pane xSplit="6" ySplit="6" topLeftCell="G7" activePane="bottomRight" state="frozen"/>
      <selection pane="topRight" activeCell="G1" sqref="G1"/>
      <selection pane="bottomLeft" activeCell="A7" sqref="A7"/>
      <selection pane="bottomRight" activeCell="L21" sqref="L21"/>
    </sheetView>
  </sheetViews>
  <sheetFormatPr defaultColWidth="9.140625" defaultRowHeight="12.75" x14ac:dyDescent="0.2"/>
  <cols>
    <col min="1" max="1" width="2.5703125" style="396" customWidth="1"/>
    <col min="2" max="2" width="8" style="461" customWidth="1"/>
    <col min="3" max="3" width="7.140625" style="461" customWidth="1"/>
    <col min="4" max="4" width="47.42578125" style="472" customWidth="1"/>
    <col min="5" max="5" width="10.28515625" style="393" customWidth="1"/>
    <col min="6" max="6" width="7.85546875" style="394" customWidth="1"/>
    <col min="7" max="7" width="9.42578125" style="395" customWidth="1"/>
    <col min="8" max="8" width="9.140625" style="396" hidden="1" customWidth="1"/>
    <col min="9" max="9" width="7.85546875" style="396" customWidth="1"/>
    <col min="10" max="10" width="8.5703125" style="396" customWidth="1"/>
    <col min="11" max="11" width="3.140625" style="396" customWidth="1"/>
    <col min="12" max="12" width="10.28515625" style="396" customWidth="1"/>
    <col min="13" max="13" width="2.85546875" style="397" customWidth="1"/>
    <col min="14" max="16384" width="9.140625" style="396"/>
  </cols>
  <sheetData>
    <row r="1" spans="2:13" ht="12.75" customHeight="1" x14ac:dyDescent="0.3">
      <c r="B1" s="391"/>
      <c r="C1" s="391"/>
      <c r="D1" s="392"/>
    </row>
    <row r="2" spans="2:13" ht="41.25" customHeight="1" x14ac:dyDescent="0.3">
      <c r="B2" s="398" t="s">
        <v>118</v>
      </c>
      <c r="C2" s="399"/>
      <c r="D2" s="400"/>
      <c r="E2" s="401" t="s">
        <v>182</v>
      </c>
      <c r="F2" s="402"/>
      <c r="G2" s="544" t="s">
        <v>183</v>
      </c>
      <c r="H2" s="544"/>
      <c r="I2" s="544"/>
      <c r="J2" s="544"/>
      <c r="K2" s="544"/>
      <c r="L2" s="545"/>
    </row>
    <row r="3" spans="2:13" ht="12.75" customHeight="1" x14ac:dyDescent="0.3">
      <c r="B3" s="403" t="s">
        <v>119</v>
      </c>
      <c r="C3" s="404">
        <v>41308</v>
      </c>
      <c r="D3" s="405" t="s">
        <v>3</v>
      </c>
    </row>
    <row r="4" spans="2:13" ht="12.75" customHeight="1" x14ac:dyDescent="0.2">
      <c r="B4" s="540"/>
      <c r="C4" s="540"/>
      <c r="D4" s="542" t="s">
        <v>120</v>
      </c>
      <c r="F4" s="406" t="s">
        <v>179</v>
      </c>
      <c r="G4" s="397"/>
      <c r="H4" s="397"/>
      <c r="I4" s="395"/>
      <c r="J4" s="395"/>
      <c r="M4" s="407"/>
    </row>
    <row r="5" spans="2:13" ht="12.75" customHeight="1" x14ac:dyDescent="0.2">
      <c r="B5" s="541"/>
      <c r="C5" s="541"/>
      <c r="D5" s="543"/>
      <c r="E5" s="408"/>
      <c r="F5" s="409" t="s">
        <v>180</v>
      </c>
      <c r="G5" s="397"/>
      <c r="H5" s="397"/>
      <c r="I5" s="479">
        <f>'Model Analysis'!D20</f>
        <v>12975</v>
      </c>
      <c r="J5" s="479">
        <f>I5/I50</f>
        <v>20417.991173056846</v>
      </c>
      <c r="L5" s="480">
        <f>'Model Analysis'!C26</f>
        <v>105.68</v>
      </c>
    </row>
    <row r="6" spans="2:13" ht="26.25" customHeight="1" thickBot="1" x14ac:dyDescent="0.35">
      <c r="B6" s="410" t="s">
        <v>121</v>
      </c>
      <c r="C6" s="411" t="s">
        <v>122</v>
      </c>
      <c r="D6" s="412" t="s">
        <v>123</v>
      </c>
      <c r="E6" s="413" t="s">
        <v>124</v>
      </c>
      <c r="F6" s="414" t="s">
        <v>125</v>
      </c>
      <c r="G6" s="413" t="s">
        <v>169</v>
      </c>
      <c r="H6" s="414" t="s">
        <v>170</v>
      </c>
      <c r="I6" s="414" t="s">
        <v>184</v>
      </c>
      <c r="J6" s="414" t="s">
        <v>181</v>
      </c>
      <c r="K6" s="415"/>
      <c r="L6" s="414" t="s">
        <v>249</v>
      </c>
    </row>
    <row r="7" spans="2:13" ht="13.9" x14ac:dyDescent="0.3">
      <c r="B7" s="416" t="s">
        <v>3</v>
      </c>
      <c r="C7" s="416" t="s">
        <v>3</v>
      </c>
      <c r="D7" s="417"/>
      <c r="E7" s="416" t="s">
        <v>3</v>
      </c>
      <c r="F7" s="416"/>
      <c r="G7" s="416" t="s">
        <v>3</v>
      </c>
      <c r="H7" s="416">
        <f>I5</f>
        <v>12975</v>
      </c>
      <c r="I7" s="416"/>
      <c r="J7" s="416"/>
      <c r="K7" s="415"/>
      <c r="L7" s="416"/>
      <c r="M7" s="418"/>
    </row>
    <row r="8" spans="2:13" ht="15.75" customHeight="1" x14ac:dyDescent="0.3">
      <c r="B8" s="419" t="s">
        <v>126</v>
      </c>
      <c r="C8" s="420">
        <v>323</v>
      </c>
      <c r="D8" s="421" t="s">
        <v>127</v>
      </c>
      <c r="E8" s="422">
        <v>90791</v>
      </c>
      <c r="F8" s="423">
        <v>1.0344</v>
      </c>
      <c r="G8" s="424">
        <v>0.05</v>
      </c>
      <c r="H8" s="425">
        <f>ROUND(SUM(I$5*G8)*F8,2)</f>
        <v>671.07</v>
      </c>
      <c r="I8" s="473">
        <f>ROUND(J8*F8,0)</f>
        <v>1056</v>
      </c>
      <c r="J8" s="473">
        <f t="shared" ref="J8:J47" si="0">$J$5*G8</f>
        <v>1020.8995586528423</v>
      </c>
      <c r="K8" s="415"/>
      <c r="L8" s="477">
        <f>ROUND(I8*L$5,0)</f>
        <v>111598</v>
      </c>
      <c r="M8" s="426"/>
    </row>
    <row r="9" spans="2:13" ht="30.75" customHeight="1" x14ac:dyDescent="0.3">
      <c r="B9" s="419" t="s">
        <v>126</v>
      </c>
      <c r="C9" s="427">
        <v>323</v>
      </c>
      <c r="D9" s="421" t="s">
        <v>250</v>
      </c>
      <c r="E9" s="422">
        <v>90792</v>
      </c>
      <c r="F9" s="423">
        <f>F8</f>
        <v>1.0344</v>
      </c>
      <c r="G9" s="424">
        <v>0</v>
      </c>
      <c r="H9" s="425"/>
      <c r="I9" s="473">
        <f>ROUND(J9*F9,0)</f>
        <v>0</v>
      </c>
      <c r="J9" s="473">
        <f t="shared" ref="J9" si="1">$J$5*G9</f>
        <v>0</v>
      </c>
      <c r="K9" s="415"/>
      <c r="L9" s="477">
        <f>ROUND(I9*L$5,0)</f>
        <v>0</v>
      </c>
      <c r="M9" s="426"/>
    </row>
    <row r="10" spans="2:13" ht="13.9" x14ac:dyDescent="0.3">
      <c r="B10" s="419" t="s">
        <v>126</v>
      </c>
      <c r="C10" s="427">
        <v>315</v>
      </c>
      <c r="D10" s="421" t="s">
        <v>128</v>
      </c>
      <c r="E10" s="422" t="s">
        <v>133</v>
      </c>
      <c r="F10" s="428">
        <v>0.66200000000000003</v>
      </c>
      <c r="G10" s="424">
        <v>0.05</v>
      </c>
      <c r="H10" s="425">
        <f>ROUND(SUM(I$5*G10)*F10,2)</f>
        <v>429.47</v>
      </c>
      <c r="I10" s="473">
        <f>ROUND(J10*F10,0)</f>
        <v>676</v>
      </c>
      <c r="J10" s="473">
        <f t="shared" si="0"/>
        <v>1020.8995586528423</v>
      </c>
      <c r="K10" s="415"/>
      <c r="L10" s="477">
        <f>ROUND(I10*L$5,0)</f>
        <v>71440</v>
      </c>
      <c r="M10" s="426"/>
    </row>
    <row r="11" spans="2:13" ht="13.9" x14ac:dyDescent="0.3">
      <c r="B11" s="419" t="s">
        <v>126</v>
      </c>
      <c r="C11" s="427">
        <v>315</v>
      </c>
      <c r="D11" s="421" t="s">
        <v>251</v>
      </c>
      <c r="E11" s="422">
        <v>90833</v>
      </c>
      <c r="F11" s="423">
        <v>0.37240000000000001</v>
      </c>
      <c r="G11" s="424">
        <v>0</v>
      </c>
      <c r="H11" s="425"/>
      <c r="I11" s="473"/>
      <c r="J11" s="473"/>
      <c r="K11" s="415"/>
      <c r="L11" s="477"/>
      <c r="M11" s="426"/>
    </row>
    <row r="12" spans="2:13" ht="13.9" x14ac:dyDescent="0.3">
      <c r="B12" s="419" t="s">
        <v>126</v>
      </c>
      <c r="C12" s="427">
        <v>316</v>
      </c>
      <c r="D12" s="421" t="s">
        <v>129</v>
      </c>
      <c r="E12" s="422" t="s">
        <v>133</v>
      </c>
      <c r="F12" s="428">
        <v>0.66200000000000003</v>
      </c>
      <c r="G12" s="424">
        <v>0</v>
      </c>
      <c r="H12" s="425">
        <f t="shared" ref="H12:H21" si="2">ROUND(SUM(I$5*G12)*F12,2)</f>
        <v>0</v>
      </c>
      <c r="I12" s="473">
        <f t="shared" ref="I12:I21" si="3">ROUND(J12*F12,0)</f>
        <v>0</v>
      </c>
      <c r="J12" s="473">
        <f t="shared" si="0"/>
        <v>0</v>
      </c>
      <c r="K12" s="415"/>
      <c r="L12" s="477">
        <f t="shared" ref="L12:L21" si="4">ROUND(I12*L$5,0)</f>
        <v>0</v>
      </c>
      <c r="M12" s="426"/>
    </row>
    <row r="13" spans="2:13" ht="13.9" x14ac:dyDescent="0.3">
      <c r="B13" s="429" t="s">
        <v>130</v>
      </c>
      <c r="C13" s="430" t="s">
        <v>131</v>
      </c>
      <c r="D13" s="421" t="s">
        <v>132</v>
      </c>
      <c r="E13" s="430" t="s">
        <v>133</v>
      </c>
      <c r="F13" s="428">
        <v>0.66200000000000003</v>
      </c>
      <c r="G13" s="424">
        <v>0</v>
      </c>
      <c r="H13" s="425">
        <f t="shared" si="2"/>
        <v>0</v>
      </c>
      <c r="I13" s="473">
        <f t="shared" si="3"/>
        <v>0</v>
      </c>
      <c r="J13" s="473">
        <f t="shared" si="0"/>
        <v>0</v>
      </c>
      <c r="K13" s="415"/>
      <c r="L13" s="477">
        <f t="shared" si="4"/>
        <v>0</v>
      </c>
      <c r="M13" s="426"/>
    </row>
    <row r="14" spans="2:13" ht="13.9" x14ac:dyDescent="0.3">
      <c r="B14" s="429" t="s">
        <v>130</v>
      </c>
      <c r="C14" s="430" t="s">
        <v>131</v>
      </c>
      <c r="D14" s="421" t="s">
        <v>134</v>
      </c>
      <c r="E14" s="430" t="s">
        <v>133</v>
      </c>
      <c r="F14" s="428">
        <v>0.66200000000000003</v>
      </c>
      <c r="G14" s="424">
        <v>0</v>
      </c>
      <c r="H14" s="425">
        <f t="shared" si="2"/>
        <v>0</v>
      </c>
      <c r="I14" s="473">
        <f t="shared" si="3"/>
        <v>0</v>
      </c>
      <c r="J14" s="473">
        <f t="shared" si="0"/>
        <v>0</v>
      </c>
      <c r="K14" s="415"/>
      <c r="L14" s="477">
        <f t="shared" si="4"/>
        <v>0</v>
      </c>
      <c r="M14" s="426"/>
    </row>
    <row r="15" spans="2:13" ht="13.9" x14ac:dyDescent="0.3">
      <c r="B15" s="429" t="s">
        <v>130</v>
      </c>
      <c r="C15" s="420">
        <v>321</v>
      </c>
      <c r="D15" s="421" t="s">
        <v>135</v>
      </c>
      <c r="E15" s="422" t="s">
        <v>136</v>
      </c>
      <c r="F15" s="423">
        <v>0.4</v>
      </c>
      <c r="G15" s="424">
        <v>0</v>
      </c>
      <c r="H15" s="425">
        <f t="shared" si="2"/>
        <v>0</v>
      </c>
      <c r="I15" s="473">
        <f t="shared" si="3"/>
        <v>0</v>
      </c>
      <c r="J15" s="473">
        <f t="shared" si="0"/>
        <v>0</v>
      </c>
      <c r="K15" s="415"/>
      <c r="L15" s="477">
        <f t="shared" si="4"/>
        <v>0</v>
      </c>
      <c r="M15" s="426"/>
    </row>
    <row r="16" spans="2:13" ht="13.9" x14ac:dyDescent="0.3">
      <c r="B16" s="429" t="s">
        <v>130</v>
      </c>
      <c r="C16" s="420">
        <v>321</v>
      </c>
      <c r="D16" s="421" t="s">
        <v>137</v>
      </c>
      <c r="E16" s="422" t="s">
        <v>138</v>
      </c>
      <c r="F16" s="423">
        <v>2.4136000000000002</v>
      </c>
      <c r="G16" s="424">
        <v>0</v>
      </c>
      <c r="H16" s="425">
        <f t="shared" si="2"/>
        <v>0</v>
      </c>
      <c r="I16" s="473">
        <f t="shared" si="3"/>
        <v>0</v>
      </c>
      <c r="J16" s="473">
        <f t="shared" si="0"/>
        <v>0</v>
      </c>
      <c r="K16" s="415"/>
      <c r="L16" s="477">
        <f t="shared" si="4"/>
        <v>0</v>
      </c>
      <c r="M16" s="426"/>
    </row>
    <row r="17" spans="2:13" ht="13.9" x14ac:dyDescent="0.3">
      <c r="B17" s="429" t="s">
        <v>130</v>
      </c>
      <c r="C17" s="420">
        <v>312</v>
      </c>
      <c r="D17" s="421" t="s">
        <v>139</v>
      </c>
      <c r="E17" s="422" t="s">
        <v>140</v>
      </c>
      <c r="F17" s="423">
        <v>5.7927</v>
      </c>
      <c r="G17" s="431">
        <v>0</v>
      </c>
      <c r="H17" s="432">
        <f t="shared" si="2"/>
        <v>0</v>
      </c>
      <c r="I17" s="473">
        <f t="shared" si="3"/>
        <v>0</v>
      </c>
      <c r="J17" s="473">
        <f t="shared" si="0"/>
        <v>0</v>
      </c>
      <c r="K17" s="415"/>
      <c r="L17" s="477">
        <f t="shared" si="4"/>
        <v>0</v>
      </c>
      <c r="M17" s="426"/>
    </row>
    <row r="18" spans="2:13" ht="13.9" x14ac:dyDescent="0.3">
      <c r="B18" s="429" t="s">
        <v>130</v>
      </c>
      <c r="C18" s="420">
        <v>490</v>
      </c>
      <c r="D18" s="421" t="s">
        <v>141</v>
      </c>
      <c r="E18" s="422" t="s">
        <v>142</v>
      </c>
      <c r="F18" s="423">
        <v>0.4138</v>
      </c>
      <c r="G18" s="424">
        <v>0</v>
      </c>
      <c r="H18" s="433">
        <f t="shared" si="2"/>
        <v>0</v>
      </c>
      <c r="I18" s="473">
        <f t="shared" si="3"/>
        <v>0</v>
      </c>
      <c r="J18" s="473">
        <f t="shared" si="0"/>
        <v>0</v>
      </c>
      <c r="K18" s="415"/>
      <c r="L18" s="477">
        <f t="shared" si="4"/>
        <v>0</v>
      </c>
      <c r="M18" s="426"/>
    </row>
    <row r="19" spans="2:13" ht="13.9" x14ac:dyDescent="0.3">
      <c r="B19" s="429" t="s">
        <v>130</v>
      </c>
      <c r="C19" s="434"/>
      <c r="D19" s="421" t="s">
        <v>252</v>
      </c>
      <c r="E19" s="422">
        <v>96372</v>
      </c>
      <c r="F19" s="423">
        <v>13.23</v>
      </c>
      <c r="G19" s="424">
        <v>0</v>
      </c>
      <c r="H19" s="433">
        <f t="shared" si="2"/>
        <v>0</v>
      </c>
      <c r="I19" s="473">
        <f t="shared" si="3"/>
        <v>0</v>
      </c>
      <c r="J19" s="473">
        <f t="shared" si="0"/>
        <v>0</v>
      </c>
      <c r="K19" s="415"/>
      <c r="L19" s="477">
        <f t="shared" si="4"/>
        <v>0</v>
      </c>
      <c r="M19" s="426"/>
    </row>
    <row r="20" spans="2:13" ht="13.9" x14ac:dyDescent="0.3">
      <c r="B20" s="429" t="s">
        <v>130</v>
      </c>
      <c r="C20" s="427"/>
      <c r="D20" s="421" t="s">
        <v>253</v>
      </c>
      <c r="E20" s="422">
        <v>96372</v>
      </c>
      <c r="F20" s="423">
        <v>13.23</v>
      </c>
      <c r="G20" s="424">
        <v>0</v>
      </c>
      <c r="H20" s="433">
        <f t="shared" si="2"/>
        <v>0</v>
      </c>
      <c r="I20" s="473">
        <f t="shared" si="3"/>
        <v>0</v>
      </c>
      <c r="J20" s="473">
        <f t="shared" si="0"/>
        <v>0</v>
      </c>
      <c r="K20" s="415"/>
      <c r="L20" s="477">
        <f t="shared" si="4"/>
        <v>0</v>
      </c>
      <c r="M20" s="426"/>
    </row>
    <row r="21" spans="2:13" ht="13.9" x14ac:dyDescent="0.3">
      <c r="B21" s="429" t="s">
        <v>130</v>
      </c>
      <c r="C21" s="427">
        <v>426</v>
      </c>
      <c r="D21" s="421" t="s">
        <v>254</v>
      </c>
      <c r="E21" s="422" t="s">
        <v>133</v>
      </c>
      <c r="F21" s="428">
        <v>0.66200000000000003</v>
      </c>
      <c r="G21" s="435">
        <v>0.02</v>
      </c>
      <c r="H21" s="433">
        <f t="shared" si="2"/>
        <v>171.79</v>
      </c>
      <c r="I21" s="473">
        <f t="shared" si="3"/>
        <v>270</v>
      </c>
      <c r="J21" s="473">
        <f t="shared" si="0"/>
        <v>408.3598234611369</v>
      </c>
      <c r="K21" s="415"/>
      <c r="L21" s="477">
        <f t="shared" si="4"/>
        <v>28534</v>
      </c>
      <c r="M21" s="426"/>
    </row>
    <row r="22" spans="2:13" ht="13.9" x14ac:dyDescent="0.3">
      <c r="B22" s="429" t="s">
        <v>130</v>
      </c>
      <c r="C22" s="427">
        <v>426</v>
      </c>
      <c r="D22" s="421" t="s">
        <v>255</v>
      </c>
      <c r="E22" s="422">
        <v>90863</v>
      </c>
      <c r="F22" s="423">
        <v>0.66200000000000003</v>
      </c>
      <c r="G22" s="435">
        <v>0</v>
      </c>
      <c r="H22" s="433"/>
      <c r="I22" s="473"/>
      <c r="J22" s="473">
        <f t="shared" si="0"/>
        <v>0</v>
      </c>
      <c r="K22" s="415"/>
      <c r="L22" s="477"/>
      <c r="M22" s="426"/>
    </row>
    <row r="23" spans="2:13" x14ac:dyDescent="0.2">
      <c r="B23" s="419" t="s">
        <v>126</v>
      </c>
      <c r="C23" s="420">
        <v>315</v>
      </c>
      <c r="D23" s="421" t="s">
        <v>143</v>
      </c>
      <c r="E23" s="422">
        <v>90832</v>
      </c>
      <c r="F23" s="423">
        <v>0.62060000000000004</v>
      </c>
      <c r="G23" s="435">
        <v>0.4</v>
      </c>
      <c r="H23" s="433">
        <f t="shared" ref="H23:H47" si="5">ROUND(SUM(I$5*G23)*F23,2)</f>
        <v>3220.91</v>
      </c>
      <c r="I23" s="473">
        <f t="shared" ref="I23:I47" si="6">ROUND(J23*F23,0)</f>
        <v>5069</v>
      </c>
      <c r="J23" s="473">
        <f t="shared" si="0"/>
        <v>8167.1964692227384</v>
      </c>
      <c r="K23" s="415"/>
      <c r="L23" s="477">
        <f t="shared" ref="L23:L47" si="7">ROUND(I23*L$5,0)</f>
        <v>535692</v>
      </c>
      <c r="M23" s="426"/>
    </row>
    <row r="24" spans="2:13" x14ac:dyDescent="0.2">
      <c r="B24" s="436" t="s">
        <v>126</v>
      </c>
      <c r="C24" s="420">
        <v>316</v>
      </c>
      <c r="D24" s="421" t="s">
        <v>144</v>
      </c>
      <c r="E24" s="422">
        <v>90834</v>
      </c>
      <c r="F24" s="423">
        <v>0.82750000000000001</v>
      </c>
      <c r="G24" s="435">
        <v>0</v>
      </c>
      <c r="H24" s="433">
        <f t="shared" si="5"/>
        <v>0</v>
      </c>
      <c r="I24" s="473">
        <f t="shared" si="6"/>
        <v>0</v>
      </c>
      <c r="J24" s="473">
        <f t="shared" si="0"/>
        <v>0</v>
      </c>
      <c r="K24" s="415"/>
      <c r="L24" s="477">
        <f t="shared" si="7"/>
        <v>0</v>
      </c>
      <c r="M24" s="426"/>
    </row>
    <row r="25" spans="2:13" x14ac:dyDescent="0.2">
      <c r="B25" s="419" t="s">
        <v>126</v>
      </c>
      <c r="C25" s="420">
        <v>317</v>
      </c>
      <c r="D25" s="421" t="s">
        <v>145</v>
      </c>
      <c r="E25" s="422">
        <v>90846</v>
      </c>
      <c r="F25" s="423">
        <v>0.62060000000000004</v>
      </c>
      <c r="G25" s="435">
        <v>0.4</v>
      </c>
      <c r="H25" s="433">
        <f t="shared" si="5"/>
        <v>3220.91</v>
      </c>
      <c r="I25" s="473">
        <f t="shared" si="6"/>
        <v>5069</v>
      </c>
      <c r="J25" s="473">
        <f t="shared" si="0"/>
        <v>8167.1964692227384</v>
      </c>
      <c r="K25" s="415"/>
      <c r="L25" s="477">
        <f t="shared" si="7"/>
        <v>535692</v>
      </c>
      <c r="M25" s="426"/>
    </row>
    <row r="26" spans="2:13" x14ac:dyDescent="0.2">
      <c r="B26" s="419" t="s">
        <v>126</v>
      </c>
      <c r="C26" s="420">
        <v>317</v>
      </c>
      <c r="D26" s="421" t="s">
        <v>146</v>
      </c>
      <c r="E26" s="422">
        <v>90847</v>
      </c>
      <c r="F26" s="423">
        <v>1.2413000000000001</v>
      </c>
      <c r="G26" s="435">
        <v>0.02</v>
      </c>
      <c r="H26" s="433">
        <f t="shared" si="5"/>
        <v>322.12</v>
      </c>
      <c r="I26" s="473">
        <f t="shared" si="6"/>
        <v>507</v>
      </c>
      <c r="J26" s="473">
        <f t="shared" si="0"/>
        <v>408.3598234611369</v>
      </c>
      <c r="K26" s="415"/>
      <c r="L26" s="477">
        <f t="shared" si="7"/>
        <v>53580</v>
      </c>
      <c r="M26" s="426"/>
    </row>
    <row r="27" spans="2:13" x14ac:dyDescent="0.2">
      <c r="B27" s="419" t="s">
        <v>126</v>
      </c>
      <c r="C27" s="420">
        <v>318</v>
      </c>
      <c r="D27" s="421" t="s">
        <v>147</v>
      </c>
      <c r="E27" s="422">
        <v>90849</v>
      </c>
      <c r="F27" s="423">
        <v>0.32069999999999999</v>
      </c>
      <c r="G27" s="435">
        <v>0</v>
      </c>
      <c r="H27" s="433">
        <f t="shared" si="5"/>
        <v>0</v>
      </c>
      <c r="I27" s="473">
        <f t="shared" si="6"/>
        <v>0</v>
      </c>
      <c r="J27" s="473">
        <f t="shared" si="0"/>
        <v>0</v>
      </c>
      <c r="K27" s="415"/>
      <c r="L27" s="477">
        <f t="shared" si="7"/>
        <v>0</v>
      </c>
      <c r="M27" s="426"/>
    </row>
    <row r="28" spans="2:13" x14ac:dyDescent="0.2">
      <c r="B28" s="419" t="s">
        <v>126</v>
      </c>
      <c r="C28" s="420">
        <v>318</v>
      </c>
      <c r="D28" s="421" t="s">
        <v>148</v>
      </c>
      <c r="E28" s="422">
        <v>90853</v>
      </c>
      <c r="F28" s="423">
        <v>0.32069999999999999</v>
      </c>
      <c r="G28" s="435">
        <v>0.01</v>
      </c>
      <c r="H28" s="433">
        <f t="shared" si="5"/>
        <v>41.61</v>
      </c>
      <c r="I28" s="473">
        <f t="shared" si="6"/>
        <v>65</v>
      </c>
      <c r="J28" s="473">
        <f t="shared" si="0"/>
        <v>204.17991173056845</v>
      </c>
      <c r="K28" s="415"/>
      <c r="L28" s="477">
        <f t="shared" si="7"/>
        <v>6869</v>
      </c>
      <c r="M28" s="426"/>
    </row>
    <row r="29" spans="2:13" x14ac:dyDescent="0.2">
      <c r="B29" s="419" t="s">
        <v>126</v>
      </c>
      <c r="C29" s="422">
        <v>318</v>
      </c>
      <c r="D29" s="421" t="s">
        <v>149</v>
      </c>
      <c r="E29" s="422">
        <v>90853</v>
      </c>
      <c r="F29" s="423">
        <f>F28*0.7</f>
        <v>0.22448999999999997</v>
      </c>
      <c r="G29" s="424">
        <v>0</v>
      </c>
      <c r="H29" s="433">
        <f t="shared" si="5"/>
        <v>0</v>
      </c>
      <c r="I29" s="473">
        <f t="shared" si="6"/>
        <v>0</v>
      </c>
      <c r="J29" s="473">
        <f t="shared" si="0"/>
        <v>0</v>
      </c>
      <c r="K29" s="415"/>
      <c r="L29" s="477">
        <f t="shared" si="7"/>
        <v>0</v>
      </c>
      <c r="M29" s="426"/>
    </row>
    <row r="30" spans="2:13" x14ac:dyDescent="0.2">
      <c r="B30" s="429" t="s">
        <v>130</v>
      </c>
      <c r="C30" s="420">
        <v>310</v>
      </c>
      <c r="D30" s="421" t="s">
        <v>150</v>
      </c>
      <c r="E30" s="422">
        <v>96110</v>
      </c>
      <c r="F30" s="423">
        <v>0.82750000000000001</v>
      </c>
      <c r="G30" s="437">
        <v>0</v>
      </c>
      <c r="H30" s="425">
        <f t="shared" si="5"/>
        <v>0</v>
      </c>
      <c r="I30" s="473">
        <f t="shared" si="6"/>
        <v>0</v>
      </c>
      <c r="J30" s="473">
        <f t="shared" si="0"/>
        <v>0</v>
      </c>
      <c r="K30" s="415"/>
      <c r="L30" s="477">
        <f t="shared" si="7"/>
        <v>0</v>
      </c>
      <c r="M30" s="426"/>
    </row>
    <row r="31" spans="2:13" x14ac:dyDescent="0.2">
      <c r="B31" s="429" t="s">
        <v>130</v>
      </c>
      <c r="C31" s="420">
        <v>310</v>
      </c>
      <c r="D31" s="421" t="s">
        <v>151</v>
      </c>
      <c r="E31" s="422">
        <v>96111</v>
      </c>
      <c r="F31" s="423">
        <v>1.2413000000000001</v>
      </c>
      <c r="G31" s="424">
        <v>0</v>
      </c>
      <c r="H31" s="425">
        <f t="shared" si="5"/>
        <v>0</v>
      </c>
      <c r="I31" s="473">
        <f t="shared" si="6"/>
        <v>0</v>
      </c>
      <c r="J31" s="473">
        <f t="shared" si="0"/>
        <v>0</v>
      </c>
      <c r="K31" s="415"/>
      <c r="L31" s="477">
        <f t="shared" si="7"/>
        <v>0</v>
      </c>
      <c r="M31" s="426"/>
    </row>
    <row r="32" spans="2:13" x14ac:dyDescent="0.2">
      <c r="B32" s="429" t="s">
        <v>130</v>
      </c>
      <c r="C32" s="420">
        <v>310</v>
      </c>
      <c r="D32" s="421" t="s">
        <v>152</v>
      </c>
      <c r="E32" s="422">
        <v>96101</v>
      </c>
      <c r="F32" s="423">
        <v>1.6551</v>
      </c>
      <c r="G32" s="424">
        <v>0</v>
      </c>
      <c r="H32" s="425">
        <f t="shared" si="5"/>
        <v>0</v>
      </c>
      <c r="I32" s="473">
        <f t="shared" si="6"/>
        <v>0</v>
      </c>
      <c r="J32" s="473">
        <f t="shared" si="0"/>
        <v>0</v>
      </c>
      <c r="K32" s="415"/>
      <c r="L32" s="477">
        <f t="shared" si="7"/>
        <v>0</v>
      </c>
      <c r="M32" s="426"/>
    </row>
    <row r="33" spans="2:14" x14ac:dyDescent="0.2">
      <c r="B33" s="429" t="s">
        <v>130</v>
      </c>
      <c r="C33" s="420">
        <v>310</v>
      </c>
      <c r="D33" s="421" t="s">
        <v>153</v>
      </c>
      <c r="E33" s="422">
        <v>96116</v>
      </c>
      <c r="F33" s="423">
        <v>1.6551</v>
      </c>
      <c r="G33" s="424">
        <v>0</v>
      </c>
      <c r="H33" s="425">
        <f t="shared" si="5"/>
        <v>0</v>
      </c>
      <c r="I33" s="473">
        <f t="shared" si="6"/>
        <v>0</v>
      </c>
      <c r="J33" s="473">
        <f t="shared" si="0"/>
        <v>0</v>
      </c>
      <c r="K33" s="415"/>
      <c r="L33" s="477">
        <f t="shared" si="7"/>
        <v>0</v>
      </c>
      <c r="M33" s="426"/>
    </row>
    <row r="34" spans="2:14" x14ac:dyDescent="0.2">
      <c r="B34" s="429" t="s">
        <v>130</v>
      </c>
      <c r="C34" s="420">
        <v>310</v>
      </c>
      <c r="D34" s="421" t="s">
        <v>152</v>
      </c>
      <c r="E34" s="422">
        <v>96118</v>
      </c>
      <c r="F34" s="423">
        <v>1.6551</v>
      </c>
      <c r="G34" s="424">
        <v>0</v>
      </c>
      <c r="H34" s="425">
        <f t="shared" si="5"/>
        <v>0</v>
      </c>
      <c r="I34" s="473">
        <f t="shared" si="6"/>
        <v>0</v>
      </c>
      <c r="J34" s="473">
        <f t="shared" si="0"/>
        <v>0</v>
      </c>
      <c r="K34" s="415"/>
      <c r="L34" s="477">
        <f t="shared" si="7"/>
        <v>0</v>
      </c>
      <c r="M34" s="426"/>
    </row>
    <row r="35" spans="2:14" x14ac:dyDescent="0.2">
      <c r="B35" s="429" t="s">
        <v>130</v>
      </c>
      <c r="C35" s="420">
        <v>490</v>
      </c>
      <c r="D35" s="421" t="s">
        <v>154</v>
      </c>
      <c r="E35" s="422">
        <v>90882</v>
      </c>
      <c r="F35" s="423">
        <v>0.28960000000000002</v>
      </c>
      <c r="G35" s="424">
        <v>0.01</v>
      </c>
      <c r="H35" s="425">
        <f t="shared" si="5"/>
        <v>37.58</v>
      </c>
      <c r="I35" s="473">
        <f t="shared" si="6"/>
        <v>59</v>
      </c>
      <c r="J35" s="473">
        <f t="shared" si="0"/>
        <v>204.17991173056845</v>
      </c>
      <c r="K35" s="415"/>
      <c r="L35" s="477">
        <f t="shared" si="7"/>
        <v>6235</v>
      </c>
      <c r="M35" s="426"/>
    </row>
    <row r="36" spans="2:14" x14ac:dyDescent="0.2">
      <c r="B36" s="429" t="s">
        <v>130</v>
      </c>
      <c r="C36" s="430" t="s">
        <v>131</v>
      </c>
      <c r="D36" s="421" t="s">
        <v>155</v>
      </c>
      <c r="E36" s="430" t="s">
        <v>133</v>
      </c>
      <c r="F36" s="428">
        <v>0.66200000000000003</v>
      </c>
      <c r="G36" s="424">
        <v>0</v>
      </c>
      <c r="H36" s="425">
        <f t="shared" si="5"/>
        <v>0</v>
      </c>
      <c r="I36" s="473">
        <f t="shared" si="6"/>
        <v>0</v>
      </c>
      <c r="J36" s="473">
        <f t="shared" si="0"/>
        <v>0</v>
      </c>
      <c r="K36" s="415"/>
      <c r="L36" s="477">
        <f t="shared" si="7"/>
        <v>0</v>
      </c>
      <c r="M36" s="426"/>
    </row>
    <row r="37" spans="2:14" x14ac:dyDescent="0.2">
      <c r="B37" s="429" t="s">
        <v>130</v>
      </c>
      <c r="C37" s="422">
        <v>490</v>
      </c>
      <c r="D37" s="421" t="s">
        <v>156</v>
      </c>
      <c r="E37" s="422">
        <v>99401</v>
      </c>
      <c r="F37" s="438">
        <v>0.25</v>
      </c>
      <c r="G37" s="424">
        <v>0.04</v>
      </c>
      <c r="H37" s="425">
        <f t="shared" si="5"/>
        <v>129.75</v>
      </c>
      <c r="I37" s="473">
        <f t="shared" si="6"/>
        <v>204</v>
      </c>
      <c r="J37" s="473">
        <f t="shared" si="0"/>
        <v>816.7196469222738</v>
      </c>
      <c r="K37" s="415"/>
      <c r="L37" s="477">
        <f t="shared" si="7"/>
        <v>21559</v>
      </c>
      <c r="M37" s="426"/>
    </row>
    <row r="38" spans="2:14" x14ac:dyDescent="0.2">
      <c r="B38" s="429" t="s">
        <v>130</v>
      </c>
      <c r="C38" s="422">
        <v>490</v>
      </c>
      <c r="D38" s="421" t="s">
        <v>157</v>
      </c>
      <c r="E38" s="422">
        <v>99402</v>
      </c>
      <c r="F38" s="438">
        <v>0.31030000000000002</v>
      </c>
      <c r="G38" s="424">
        <v>0</v>
      </c>
      <c r="H38" s="425">
        <f t="shared" si="5"/>
        <v>0</v>
      </c>
      <c r="I38" s="473">
        <f t="shared" si="6"/>
        <v>0</v>
      </c>
      <c r="J38" s="473">
        <f t="shared" si="0"/>
        <v>0</v>
      </c>
      <c r="K38" s="415"/>
      <c r="L38" s="477">
        <f t="shared" si="7"/>
        <v>0</v>
      </c>
      <c r="M38" s="426"/>
    </row>
    <row r="39" spans="2:14" x14ac:dyDescent="0.2">
      <c r="B39" s="429" t="s">
        <v>130</v>
      </c>
      <c r="C39" s="422">
        <v>490</v>
      </c>
      <c r="D39" s="421" t="s">
        <v>158</v>
      </c>
      <c r="E39" s="422">
        <v>99403</v>
      </c>
      <c r="F39" s="438">
        <v>0.44819999999999999</v>
      </c>
      <c r="G39" s="424">
        <v>0</v>
      </c>
      <c r="H39" s="425">
        <f t="shared" si="5"/>
        <v>0</v>
      </c>
      <c r="I39" s="473">
        <f t="shared" si="6"/>
        <v>0</v>
      </c>
      <c r="J39" s="473">
        <f t="shared" si="0"/>
        <v>0</v>
      </c>
      <c r="K39" s="415"/>
      <c r="L39" s="477">
        <f t="shared" si="7"/>
        <v>0</v>
      </c>
      <c r="M39" s="426"/>
    </row>
    <row r="40" spans="2:14" x14ac:dyDescent="0.2">
      <c r="B40" s="429" t="s">
        <v>130</v>
      </c>
      <c r="C40" s="422">
        <v>490</v>
      </c>
      <c r="D40" s="421" t="s">
        <v>159</v>
      </c>
      <c r="E40" s="422">
        <v>99404</v>
      </c>
      <c r="F40" s="438">
        <v>0.58620000000000005</v>
      </c>
      <c r="G40" s="424">
        <v>0</v>
      </c>
      <c r="H40" s="425">
        <f t="shared" si="5"/>
        <v>0</v>
      </c>
      <c r="I40" s="473">
        <f t="shared" si="6"/>
        <v>0</v>
      </c>
      <c r="J40" s="473">
        <f t="shared" si="0"/>
        <v>0</v>
      </c>
      <c r="K40" s="415"/>
      <c r="L40" s="477">
        <f t="shared" si="7"/>
        <v>0</v>
      </c>
      <c r="M40" s="426"/>
    </row>
    <row r="41" spans="2:14" x14ac:dyDescent="0.2">
      <c r="B41" s="429" t="s">
        <v>130</v>
      </c>
      <c r="C41" s="422">
        <v>490</v>
      </c>
      <c r="D41" s="421" t="s">
        <v>160</v>
      </c>
      <c r="E41" s="422">
        <v>99411</v>
      </c>
      <c r="F41" s="438">
        <v>0.13789999999999999</v>
      </c>
      <c r="G41" s="424">
        <v>0</v>
      </c>
      <c r="H41" s="425">
        <f t="shared" si="5"/>
        <v>0</v>
      </c>
      <c r="I41" s="473">
        <f t="shared" si="6"/>
        <v>0</v>
      </c>
      <c r="J41" s="473">
        <f t="shared" si="0"/>
        <v>0</v>
      </c>
      <c r="K41" s="415"/>
      <c r="L41" s="477">
        <f t="shared" si="7"/>
        <v>0</v>
      </c>
      <c r="M41" s="426"/>
    </row>
    <row r="42" spans="2:14" x14ac:dyDescent="0.2">
      <c r="B42" s="429" t="s">
        <v>130</v>
      </c>
      <c r="C42" s="422">
        <v>490</v>
      </c>
      <c r="D42" s="421" t="s">
        <v>161</v>
      </c>
      <c r="E42" s="422">
        <v>99412</v>
      </c>
      <c r="F42" s="438">
        <v>0.2414</v>
      </c>
      <c r="G42" s="424">
        <v>0</v>
      </c>
      <c r="H42" s="425">
        <f t="shared" si="5"/>
        <v>0</v>
      </c>
      <c r="I42" s="473">
        <f t="shared" si="6"/>
        <v>0</v>
      </c>
      <c r="J42" s="473">
        <f t="shared" si="0"/>
        <v>0</v>
      </c>
      <c r="K42" s="415"/>
      <c r="L42" s="477">
        <f t="shared" si="7"/>
        <v>0</v>
      </c>
      <c r="M42" s="426"/>
    </row>
    <row r="43" spans="2:14" x14ac:dyDescent="0.2">
      <c r="B43" s="429" t="s">
        <v>130</v>
      </c>
      <c r="C43" s="439">
        <v>451</v>
      </c>
      <c r="D43" s="421" t="s">
        <v>256</v>
      </c>
      <c r="E43" s="422">
        <v>99406</v>
      </c>
      <c r="F43" s="438">
        <v>0.12670000000000001</v>
      </c>
      <c r="G43" s="424">
        <v>0</v>
      </c>
      <c r="H43" s="425">
        <f t="shared" si="5"/>
        <v>0</v>
      </c>
      <c r="I43" s="473">
        <f t="shared" si="6"/>
        <v>0</v>
      </c>
      <c r="J43" s="473">
        <f t="shared" si="0"/>
        <v>0</v>
      </c>
      <c r="K43" s="415"/>
      <c r="L43" s="477">
        <f t="shared" si="7"/>
        <v>0</v>
      </c>
      <c r="M43" s="426"/>
    </row>
    <row r="44" spans="2:14" x14ac:dyDescent="0.2">
      <c r="B44" s="429" t="s">
        <v>130</v>
      </c>
      <c r="C44" s="439">
        <v>451</v>
      </c>
      <c r="D44" s="421" t="s">
        <v>257</v>
      </c>
      <c r="E44" s="422">
        <v>99407</v>
      </c>
      <c r="F44" s="438">
        <v>0.12670000000000001</v>
      </c>
      <c r="G44" s="424">
        <v>0</v>
      </c>
      <c r="H44" s="425">
        <f t="shared" si="5"/>
        <v>0</v>
      </c>
      <c r="I44" s="473">
        <f t="shared" si="6"/>
        <v>0</v>
      </c>
      <c r="J44" s="473">
        <f t="shared" si="0"/>
        <v>0</v>
      </c>
      <c r="K44" s="415"/>
      <c r="L44" s="477">
        <f t="shared" si="7"/>
        <v>0</v>
      </c>
      <c r="M44" s="426"/>
    </row>
    <row r="45" spans="2:14" x14ac:dyDescent="0.2">
      <c r="B45" s="429" t="s">
        <v>130</v>
      </c>
      <c r="C45" s="439">
        <v>451</v>
      </c>
      <c r="D45" s="421" t="s">
        <v>258</v>
      </c>
      <c r="E45" s="422" t="s">
        <v>261</v>
      </c>
      <c r="F45" s="438">
        <v>8.5</v>
      </c>
      <c r="G45" s="424">
        <v>0</v>
      </c>
      <c r="H45" s="425">
        <f t="shared" si="5"/>
        <v>0</v>
      </c>
      <c r="I45" s="473">
        <f t="shared" si="6"/>
        <v>0</v>
      </c>
      <c r="J45" s="473">
        <f t="shared" si="0"/>
        <v>0</v>
      </c>
      <c r="K45" s="415"/>
      <c r="L45" s="477">
        <f t="shared" si="7"/>
        <v>0</v>
      </c>
      <c r="M45" s="426"/>
    </row>
    <row r="46" spans="2:14" x14ac:dyDescent="0.2">
      <c r="B46" s="429" t="s">
        <v>130</v>
      </c>
      <c r="C46" s="439">
        <v>324</v>
      </c>
      <c r="D46" s="421" t="s">
        <v>259</v>
      </c>
      <c r="E46" s="422" t="s">
        <v>262</v>
      </c>
      <c r="F46" s="438">
        <v>0.28029999999999999</v>
      </c>
      <c r="G46" s="424">
        <v>0</v>
      </c>
      <c r="H46" s="425">
        <f t="shared" si="5"/>
        <v>0</v>
      </c>
      <c r="I46" s="473">
        <f t="shared" si="6"/>
        <v>0</v>
      </c>
      <c r="J46" s="473">
        <f t="shared" si="0"/>
        <v>0</v>
      </c>
      <c r="K46" s="415"/>
      <c r="L46" s="477">
        <f t="shared" si="7"/>
        <v>0</v>
      </c>
      <c r="M46" s="426"/>
    </row>
    <row r="47" spans="2:14" x14ac:dyDescent="0.2">
      <c r="B47" s="429" t="s">
        <v>130</v>
      </c>
      <c r="C47" s="439">
        <v>324</v>
      </c>
      <c r="D47" s="421" t="s">
        <v>260</v>
      </c>
      <c r="E47" s="422" t="s">
        <v>263</v>
      </c>
      <c r="F47" s="438">
        <v>0.28029999999999999</v>
      </c>
      <c r="G47" s="424">
        <v>0</v>
      </c>
      <c r="H47" s="425">
        <f t="shared" si="5"/>
        <v>0</v>
      </c>
      <c r="I47" s="473">
        <f t="shared" si="6"/>
        <v>0</v>
      </c>
      <c r="J47" s="473">
        <f t="shared" si="0"/>
        <v>0</v>
      </c>
      <c r="K47" s="415"/>
      <c r="L47" s="477">
        <f t="shared" si="7"/>
        <v>0</v>
      </c>
      <c r="M47" s="426"/>
    </row>
    <row r="48" spans="2:14" s="448" customFormat="1" x14ac:dyDescent="0.2">
      <c r="B48" s="440"/>
      <c r="C48" s="440"/>
      <c r="D48" s="441"/>
      <c r="E48" s="440"/>
      <c r="F48" s="442" t="s">
        <v>162</v>
      </c>
      <c r="G48" s="443">
        <f>SUM(G8:G47)</f>
        <v>1</v>
      </c>
      <c r="H48" s="444">
        <f>SUM(H8:H42)</f>
        <v>8245.2099999999991</v>
      </c>
      <c r="I48" s="474">
        <f>SUM(I8:I47)</f>
        <v>12975</v>
      </c>
      <c r="J48" s="474">
        <f>SUM(J8:J47)</f>
        <v>20417.991173056842</v>
      </c>
      <c r="K48" s="445"/>
      <c r="L48" s="478">
        <f>SUM(L8:L47)</f>
        <v>1371199</v>
      </c>
      <c r="M48" s="446"/>
      <c r="N48" s="447"/>
    </row>
    <row r="49" spans="2:13" x14ac:dyDescent="0.2">
      <c r="B49" s="449"/>
      <c r="C49" s="450"/>
      <c r="D49" s="442"/>
      <c r="E49" s="450"/>
      <c r="F49" s="450" t="s">
        <v>3</v>
      </c>
      <c r="G49" s="451" t="s">
        <v>3</v>
      </c>
      <c r="H49" s="415"/>
      <c r="I49" s="415"/>
      <c r="J49" s="415"/>
      <c r="K49" s="415"/>
      <c r="L49" s="415"/>
      <c r="M49" s="426"/>
    </row>
    <row r="50" spans="2:13" x14ac:dyDescent="0.2">
      <c r="B50" s="452"/>
      <c r="C50" s="453"/>
      <c r="D50" s="450"/>
      <c r="E50" s="546"/>
      <c r="F50" s="546"/>
      <c r="G50" s="454" t="s">
        <v>178</v>
      </c>
      <c r="H50" s="415"/>
      <c r="I50" s="475">
        <f>H48/I5</f>
        <v>0.63546897880539488</v>
      </c>
      <c r="J50" s="455"/>
      <c r="K50" s="456" t="s">
        <v>330</v>
      </c>
      <c r="L50" s="476">
        <f>L48/I5</f>
        <v>105.68007707129094</v>
      </c>
      <c r="M50" s="457"/>
    </row>
    <row r="51" spans="2:13" x14ac:dyDescent="0.2">
      <c r="B51" s="458"/>
      <c r="C51" s="458"/>
      <c r="D51" s="459"/>
      <c r="E51" s="547"/>
      <c r="F51" s="547"/>
      <c r="G51" s="395" t="s">
        <v>3</v>
      </c>
      <c r="H51" s="395"/>
      <c r="I51" s="395"/>
      <c r="J51" s="460"/>
      <c r="K51" s="460"/>
    </row>
    <row r="52" spans="2:13" x14ac:dyDescent="0.2">
      <c r="C52" s="458"/>
      <c r="D52" s="459"/>
      <c r="E52" s="549"/>
      <c r="F52" s="549"/>
      <c r="I52" s="462"/>
    </row>
    <row r="53" spans="2:13" x14ac:dyDescent="0.2">
      <c r="C53" s="458"/>
      <c r="D53" s="459"/>
      <c r="E53" s="548"/>
      <c r="F53" s="548"/>
      <c r="H53" s="460" t="s">
        <v>3</v>
      </c>
      <c r="I53" s="460"/>
      <c r="J53" s="460"/>
      <c r="K53" s="460"/>
    </row>
    <row r="54" spans="2:13" x14ac:dyDescent="0.2">
      <c r="C54" s="458"/>
      <c r="D54" s="463"/>
      <c r="E54" s="464"/>
      <c r="F54" s="465"/>
      <c r="H54" s="466" t="s">
        <v>3</v>
      </c>
      <c r="I54" s="466"/>
      <c r="J54" s="466"/>
      <c r="K54" s="466"/>
    </row>
    <row r="55" spans="2:13" x14ac:dyDescent="0.2">
      <c r="D55" s="467"/>
      <c r="E55" s="464"/>
      <c r="F55" s="468"/>
      <c r="H55" s="396" t="s">
        <v>3</v>
      </c>
    </row>
    <row r="56" spans="2:13" x14ac:dyDescent="0.2">
      <c r="D56" s="469"/>
      <c r="E56" s="464"/>
      <c r="F56" s="468"/>
    </row>
    <row r="57" spans="2:13" x14ac:dyDescent="0.2">
      <c r="D57" s="469"/>
      <c r="E57" s="464"/>
      <c r="F57" s="468"/>
    </row>
    <row r="58" spans="2:13" x14ac:dyDescent="0.2">
      <c r="D58" s="470"/>
      <c r="E58" s="464"/>
      <c r="F58" s="468"/>
    </row>
    <row r="59" spans="2:13" x14ac:dyDescent="0.2">
      <c r="B59" s="458"/>
      <c r="C59" s="458"/>
      <c r="D59" s="467"/>
      <c r="E59" s="471"/>
      <c r="F59" s="459"/>
    </row>
    <row r="60" spans="2:13" x14ac:dyDescent="0.2">
      <c r="B60" s="458"/>
      <c r="C60" s="458"/>
      <c r="D60" s="467"/>
      <c r="E60" s="471"/>
      <c r="F60" s="459"/>
    </row>
    <row r="61" spans="2:13" x14ac:dyDescent="0.2">
      <c r="B61" s="458"/>
      <c r="C61" s="458"/>
      <c r="D61" s="467"/>
      <c r="E61" s="471"/>
      <c r="F61" s="459"/>
    </row>
    <row r="62" spans="2:13" x14ac:dyDescent="0.2">
      <c r="B62" s="458"/>
      <c r="C62" s="458"/>
      <c r="D62" s="467"/>
      <c r="E62" s="471"/>
      <c r="F62" s="459"/>
    </row>
    <row r="63" spans="2:13" x14ac:dyDescent="0.2">
      <c r="B63" s="458"/>
      <c r="C63" s="458"/>
      <c r="D63" s="467"/>
      <c r="E63" s="471"/>
      <c r="F63" s="459"/>
    </row>
    <row r="64" spans="2:13" x14ac:dyDescent="0.2">
      <c r="B64" s="458"/>
      <c r="C64" s="458"/>
      <c r="D64" s="467"/>
      <c r="E64" s="471"/>
      <c r="F64" s="459"/>
    </row>
    <row r="65" spans="2:6" x14ac:dyDescent="0.2">
      <c r="B65" s="458"/>
      <c r="C65" s="458"/>
      <c r="D65" s="467"/>
      <c r="E65" s="471"/>
      <c r="F65" s="459"/>
    </row>
    <row r="66" spans="2:6" x14ac:dyDescent="0.2">
      <c r="B66" s="458"/>
      <c r="C66" s="458"/>
      <c r="D66" s="467"/>
      <c r="E66" s="471"/>
      <c r="F66" s="459"/>
    </row>
    <row r="67" spans="2:6" x14ac:dyDescent="0.2">
      <c r="B67" s="458"/>
      <c r="C67" s="458"/>
      <c r="D67" s="467"/>
      <c r="E67" s="471"/>
      <c r="F67" s="459"/>
    </row>
    <row r="68" spans="2:6" x14ac:dyDescent="0.2">
      <c r="B68" s="458"/>
      <c r="C68" s="458"/>
      <c r="D68" s="467"/>
      <c r="E68" s="471"/>
      <c r="F68" s="459"/>
    </row>
    <row r="69" spans="2:6" x14ac:dyDescent="0.2">
      <c r="B69" s="458"/>
      <c r="C69" s="458"/>
      <c r="D69" s="467"/>
      <c r="E69" s="471"/>
      <c r="F69" s="459"/>
    </row>
    <row r="70" spans="2:6" x14ac:dyDescent="0.2">
      <c r="B70" s="458"/>
      <c r="C70" s="458"/>
      <c r="D70" s="467"/>
      <c r="E70" s="471"/>
      <c r="F70" s="459"/>
    </row>
    <row r="71" spans="2:6" x14ac:dyDescent="0.2">
      <c r="B71" s="458"/>
      <c r="C71" s="458"/>
      <c r="D71" s="467"/>
      <c r="E71" s="471"/>
      <c r="F71" s="459"/>
    </row>
    <row r="72" spans="2:6" x14ac:dyDescent="0.2">
      <c r="B72" s="458"/>
      <c r="C72" s="458"/>
      <c r="D72" s="467"/>
      <c r="E72" s="471"/>
      <c r="F72" s="459"/>
    </row>
    <row r="73" spans="2:6" x14ac:dyDescent="0.2">
      <c r="B73" s="458"/>
      <c r="C73" s="458"/>
      <c r="D73" s="467"/>
      <c r="E73" s="471"/>
      <c r="F73" s="459"/>
    </row>
    <row r="74" spans="2:6" x14ac:dyDescent="0.2">
      <c r="B74" s="458"/>
      <c r="C74" s="458"/>
      <c r="D74" s="467"/>
      <c r="E74" s="471"/>
      <c r="F74" s="459"/>
    </row>
    <row r="75" spans="2:6" x14ac:dyDescent="0.2">
      <c r="B75" s="458"/>
      <c r="C75" s="458"/>
      <c r="D75" s="467"/>
      <c r="E75" s="471"/>
      <c r="F75" s="459"/>
    </row>
    <row r="76" spans="2:6" x14ac:dyDescent="0.2">
      <c r="B76" s="458"/>
      <c r="C76" s="458"/>
      <c r="D76" s="467"/>
      <c r="E76" s="471"/>
      <c r="F76" s="459"/>
    </row>
    <row r="77" spans="2:6" x14ac:dyDescent="0.2">
      <c r="B77" s="458"/>
      <c r="C77" s="458"/>
      <c r="D77" s="467"/>
      <c r="E77" s="471"/>
      <c r="F77" s="459"/>
    </row>
    <row r="78" spans="2:6" x14ac:dyDescent="0.2">
      <c r="B78" s="458"/>
      <c r="C78" s="458"/>
      <c r="D78" s="467"/>
      <c r="E78" s="471"/>
      <c r="F78" s="459"/>
    </row>
    <row r="79" spans="2:6" x14ac:dyDescent="0.2">
      <c r="B79" s="458"/>
      <c r="C79" s="458"/>
      <c r="D79" s="467"/>
      <c r="E79" s="471"/>
      <c r="F79" s="459"/>
    </row>
    <row r="80" spans="2:6" x14ac:dyDescent="0.2">
      <c r="B80" s="458"/>
      <c r="C80" s="458"/>
      <c r="D80" s="467"/>
      <c r="E80" s="471"/>
      <c r="F80" s="459"/>
    </row>
    <row r="81" spans="2:6" x14ac:dyDescent="0.2">
      <c r="B81" s="458"/>
      <c r="C81" s="458"/>
      <c r="D81" s="467"/>
      <c r="E81" s="471"/>
      <c r="F81" s="459"/>
    </row>
    <row r="82" spans="2:6" x14ac:dyDescent="0.2">
      <c r="B82" s="458"/>
      <c r="C82" s="458"/>
      <c r="D82" s="467"/>
      <c r="E82" s="471"/>
      <c r="F82" s="459"/>
    </row>
    <row r="83" spans="2:6" x14ac:dyDescent="0.2">
      <c r="B83" s="458"/>
      <c r="C83" s="458"/>
      <c r="D83" s="467"/>
      <c r="E83" s="471"/>
      <c r="F83" s="459"/>
    </row>
    <row r="84" spans="2:6" x14ac:dyDescent="0.2">
      <c r="B84" s="458"/>
      <c r="C84" s="458"/>
      <c r="D84" s="467"/>
      <c r="E84" s="471"/>
      <c r="F84" s="459"/>
    </row>
    <row r="85" spans="2:6" x14ac:dyDescent="0.2">
      <c r="B85" s="458"/>
      <c r="C85" s="458"/>
      <c r="D85" s="467"/>
      <c r="E85" s="471"/>
      <c r="F85" s="459"/>
    </row>
    <row r="86" spans="2:6" x14ac:dyDescent="0.2">
      <c r="B86" s="458"/>
      <c r="C86" s="458"/>
      <c r="D86" s="467"/>
      <c r="E86" s="471"/>
      <c r="F86" s="459"/>
    </row>
    <row r="87" spans="2:6" x14ac:dyDescent="0.2">
      <c r="B87" s="458"/>
      <c r="C87" s="458"/>
      <c r="D87" s="467"/>
      <c r="E87" s="471"/>
      <c r="F87" s="459"/>
    </row>
    <row r="88" spans="2:6" x14ac:dyDescent="0.2">
      <c r="B88" s="458"/>
      <c r="C88" s="458"/>
      <c r="D88" s="467"/>
      <c r="E88" s="471"/>
      <c r="F88" s="459"/>
    </row>
    <row r="89" spans="2:6" x14ac:dyDescent="0.2">
      <c r="B89" s="458"/>
      <c r="C89" s="458"/>
      <c r="D89" s="467"/>
      <c r="E89" s="471"/>
      <c r="F89" s="459"/>
    </row>
    <row r="90" spans="2:6" x14ac:dyDescent="0.2">
      <c r="B90" s="458"/>
      <c r="C90" s="458"/>
      <c r="D90" s="467"/>
      <c r="E90" s="471"/>
      <c r="F90" s="459"/>
    </row>
    <row r="91" spans="2:6" x14ac:dyDescent="0.2">
      <c r="B91" s="458"/>
      <c r="C91" s="458"/>
      <c r="D91" s="467"/>
      <c r="E91" s="471"/>
      <c r="F91" s="459"/>
    </row>
    <row r="92" spans="2:6" x14ac:dyDescent="0.2">
      <c r="B92" s="458"/>
      <c r="C92" s="458"/>
      <c r="D92" s="467"/>
      <c r="E92" s="471"/>
      <c r="F92" s="459"/>
    </row>
    <row r="93" spans="2:6" x14ac:dyDescent="0.2">
      <c r="B93" s="458"/>
      <c r="C93" s="458"/>
      <c r="D93" s="467"/>
      <c r="E93" s="471"/>
      <c r="F93" s="459"/>
    </row>
    <row r="94" spans="2:6" x14ac:dyDescent="0.2">
      <c r="B94" s="458"/>
      <c r="C94" s="458"/>
      <c r="D94" s="467"/>
      <c r="E94" s="471"/>
      <c r="F94" s="459"/>
    </row>
    <row r="95" spans="2:6" x14ac:dyDescent="0.2">
      <c r="B95" s="458"/>
      <c r="C95" s="458"/>
      <c r="D95" s="467"/>
      <c r="E95" s="471"/>
      <c r="F95" s="459"/>
    </row>
    <row r="96" spans="2:6" x14ac:dyDescent="0.2">
      <c r="B96" s="458"/>
      <c r="C96" s="458"/>
      <c r="D96" s="467"/>
      <c r="E96" s="471"/>
      <c r="F96" s="459"/>
    </row>
    <row r="97" spans="2:6" x14ac:dyDescent="0.2">
      <c r="B97" s="458"/>
      <c r="C97" s="458"/>
      <c r="D97" s="467"/>
      <c r="E97" s="471"/>
      <c r="F97" s="459"/>
    </row>
    <row r="98" spans="2:6" x14ac:dyDescent="0.2">
      <c r="B98" s="458"/>
      <c r="C98" s="458"/>
      <c r="D98" s="467"/>
      <c r="E98" s="471"/>
      <c r="F98" s="459"/>
    </row>
    <row r="99" spans="2:6" x14ac:dyDescent="0.2">
      <c r="B99" s="458"/>
      <c r="C99" s="458"/>
      <c r="D99" s="467"/>
      <c r="E99" s="471"/>
      <c r="F99" s="459"/>
    </row>
    <row r="100" spans="2:6" x14ac:dyDescent="0.2">
      <c r="B100" s="458"/>
      <c r="C100" s="458"/>
      <c r="D100" s="467"/>
      <c r="E100" s="471"/>
      <c r="F100" s="459"/>
    </row>
    <row r="101" spans="2:6" x14ac:dyDescent="0.2">
      <c r="B101" s="458"/>
      <c r="C101" s="458"/>
      <c r="D101" s="467"/>
      <c r="E101" s="471"/>
      <c r="F101" s="459"/>
    </row>
    <row r="102" spans="2:6" x14ac:dyDescent="0.2">
      <c r="B102" s="458"/>
      <c r="C102" s="458"/>
      <c r="D102" s="467"/>
      <c r="E102" s="471"/>
      <c r="F102" s="459"/>
    </row>
    <row r="103" spans="2:6" x14ac:dyDescent="0.2">
      <c r="B103" s="458"/>
      <c r="C103" s="458"/>
      <c r="D103" s="467"/>
      <c r="E103" s="471"/>
      <c r="F103" s="459"/>
    </row>
    <row r="104" spans="2:6" x14ac:dyDescent="0.2">
      <c r="B104" s="458"/>
      <c r="C104" s="458"/>
      <c r="D104" s="467"/>
      <c r="E104" s="471"/>
      <c r="F104" s="459"/>
    </row>
    <row r="105" spans="2:6" x14ac:dyDescent="0.2">
      <c r="B105" s="458"/>
      <c r="C105" s="458"/>
      <c r="D105" s="467"/>
      <c r="E105" s="471"/>
      <c r="F105" s="459"/>
    </row>
    <row r="106" spans="2:6" x14ac:dyDescent="0.2">
      <c r="B106" s="458"/>
      <c r="C106" s="458"/>
      <c r="D106" s="467"/>
      <c r="E106" s="471"/>
      <c r="F106" s="459"/>
    </row>
    <row r="107" spans="2:6" x14ac:dyDescent="0.2">
      <c r="B107" s="458"/>
      <c r="C107" s="458"/>
      <c r="D107" s="467"/>
      <c r="E107" s="471"/>
      <c r="F107" s="459"/>
    </row>
    <row r="108" spans="2:6" x14ac:dyDescent="0.2">
      <c r="B108" s="458"/>
      <c r="C108" s="458"/>
      <c r="D108" s="467"/>
      <c r="E108" s="471"/>
      <c r="F108" s="459"/>
    </row>
    <row r="109" spans="2:6" x14ac:dyDescent="0.2">
      <c r="B109" s="458"/>
      <c r="C109" s="458"/>
      <c r="D109" s="467"/>
      <c r="E109" s="471"/>
      <c r="F109" s="459"/>
    </row>
    <row r="110" spans="2:6" x14ac:dyDescent="0.2">
      <c r="B110" s="458"/>
      <c r="C110" s="458"/>
      <c r="D110" s="467"/>
      <c r="E110" s="471"/>
      <c r="F110" s="459"/>
    </row>
    <row r="111" spans="2:6" x14ac:dyDescent="0.2">
      <c r="B111" s="458"/>
      <c r="C111" s="458"/>
      <c r="D111" s="467"/>
      <c r="E111" s="471"/>
      <c r="F111" s="459"/>
    </row>
    <row r="112" spans="2:6" x14ac:dyDescent="0.2">
      <c r="B112" s="458"/>
      <c r="C112" s="458"/>
      <c r="D112" s="467"/>
      <c r="E112" s="471"/>
      <c r="F112" s="459"/>
    </row>
    <row r="113" spans="2:6" x14ac:dyDescent="0.2">
      <c r="B113" s="458"/>
      <c r="C113" s="458"/>
      <c r="D113" s="467"/>
      <c r="E113" s="471"/>
      <c r="F113" s="459"/>
    </row>
    <row r="114" spans="2:6" x14ac:dyDescent="0.2">
      <c r="B114" s="458"/>
      <c r="C114" s="458"/>
      <c r="D114" s="467"/>
      <c r="E114" s="471"/>
      <c r="F114" s="459"/>
    </row>
    <row r="115" spans="2:6" x14ac:dyDescent="0.2">
      <c r="B115" s="458"/>
      <c r="C115" s="458"/>
      <c r="D115" s="467"/>
      <c r="E115" s="471"/>
      <c r="F115" s="459"/>
    </row>
    <row r="116" spans="2:6" x14ac:dyDescent="0.2">
      <c r="B116" s="458"/>
      <c r="C116" s="458"/>
      <c r="D116" s="467"/>
      <c r="E116" s="471"/>
      <c r="F116" s="459"/>
    </row>
    <row r="117" spans="2:6" x14ac:dyDescent="0.2">
      <c r="B117" s="458"/>
      <c r="C117" s="458"/>
      <c r="D117" s="467"/>
      <c r="E117" s="471"/>
      <c r="F117" s="459"/>
    </row>
    <row r="118" spans="2:6" x14ac:dyDescent="0.2">
      <c r="B118" s="458"/>
      <c r="C118" s="458"/>
      <c r="D118" s="467"/>
      <c r="E118" s="471"/>
      <c r="F118" s="459"/>
    </row>
    <row r="119" spans="2:6" x14ac:dyDescent="0.2">
      <c r="B119" s="458"/>
      <c r="C119" s="458"/>
      <c r="D119" s="467"/>
      <c r="E119" s="471"/>
      <c r="F119" s="459"/>
    </row>
    <row r="120" spans="2:6" x14ac:dyDescent="0.2">
      <c r="B120" s="458"/>
      <c r="C120" s="458"/>
      <c r="D120" s="467"/>
      <c r="E120" s="471"/>
      <c r="F120" s="459"/>
    </row>
    <row r="121" spans="2:6" x14ac:dyDescent="0.2">
      <c r="B121" s="458"/>
      <c r="C121" s="458"/>
      <c r="D121" s="467"/>
      <c r="E121" s="471"/>
      <c r="F121" s="459"/>
    </row>
    <row r="122" spans="2:6" x14ac:dyDescent="0.2">
      <c r="B122" s="458"/>
      <c r="C122" s="458"/>
      <c r="D122" s="467"/>
      <c r="E122" s="471"/>
      <c r="F122" s="459"/>
    </row>
    <row r="123" spans="2:6" x14ac:dyDescent="0.2">
      <c r="B123" s="458"/>
      <c r="C123" s="458"/>
      <c r="D123" s="467"/>
      <c r="E123" s="471"/>
      <c r="F123" s="459"/>
    </row>
    <row r="124" spans="2:6" x14ac:dyDescent="0.2">
      <c r="B124" s="458"/>
      <c r="C124" s="458"/>
      <c r="D124" s="467"/>
      <c r="E124" s="471"/>
      <c r="F124" s="459"/>
    </row>
    <row r="125" spans="2:6" x14ac:dyDescent="0.2">
      <c r="B125" s="458"/>
      <c r="C125" s="458"/>
      <c r="D125" s="467"/>
      <c r="E125" s="471"/>
      <c r="F125" s="459"/>
    </row>
    <row r="126" spans="2:6" x14ac:dyDescent="0.2">
      <c r="B126" s="458"/>
      <c r="C126" s="458"/>
      <c r="D126" s="467"/>
      <c r="E126" s="471"/>
      <c r="F126" s="459"/>
    </row>
    <row r="127" spans="2:6" x14ac:dyDescent="0.2">
      <c r="B127" s="458"/>
      <c r="C127" s="458"/>
      <c r="D127" s="467"/>
      <c r="E127" s="471"/>
      <c r="F127" s="459"/>
    </row>
    <row r="128" spans="2:6" x14ac:dyDescent="0.2">
      <c r="B128" s="458"/>
      <c r="C128" s="458"/>
      <c r="D128" s="467"/>
      <c r="E128" s="471"/>
      <c r="F128" s="459"/>
    </row>
    <row r="129" spans="2:6" x14ac:dyDescent="0.2">
      <c r="B129" s="458"/>
      <c r="C129" s="458"/>
      <c r="D129" s="467"/>
      <c r="E129" s="471"/>
      <c r="F129" s="459"/>
    </row>
    <row r="130" spans="2:6" x14ac:dyDescent="0.2">
      <c r="B130" s="458"/>
      <c r="C130" s="458"/>
      <c r="D130" s="467"/>
      <c r="E130" s="471"/>
      <c r="F130" s="459"/>
    </row>
    <row r="131" spans="2:6" x14ac:dyDescent="0.2">
      <c r="B131" s="458"/>
      <c r="C131" s="458"/>
      <c r="D131" s="467"/>
      <c r="E131" s="471"/>
      <c r="F131" s="459"/>
    </row>
    <row r="132" spans="2:6" x14ac:dyDescent="0.2">
      <c r="B132" s="458"/>
      <c r="C132" s="458"/>
      <c r="D132" s="467"/>
      <c r="E132" s="471"/>
      <c r="F132" s="459"/>
    </row>
    <row r="133" spans="2:6" x14ac:dyDescent="0.2">
      <c r="B133" s="458"/>
      <c r="C133" s="458"/>
      <c r="D133" s="467"/>
      <c r="E133" s="471"/>
      <c r="F133" s="459"/>
    </row>
    <row r="134" spans="2:6" x14ac:dyDescent="0.2">
      <c r="B134" s="458"/>
      <c r="C134" s="458"/>
      <c r="D134" s="467"/>
      <c r="E134" s="471"/>
      <c r="F134" s="459"/>
    </row>
    <row r="135" spans="2:6" x14ac:dyDescent="0.2">
      <c r="B135" s="458"/>
      <c r="C135" s="458"/>
      <c r="D135" s="467"/>
      <c r="E135" s="471"/>
      <c r="F135" s="459"/>
    </row>
    <row r="136" spans="2:6" x14ac:dyDescent="0.2">
      <c r="B136" s="458"/>
      <c r="C136" s="458"/>
      <c r="D136" s="467"/>
      <c r="E136" s="471"/>
      <c r="F136" s="459"/>
    </row>
    <row r="137" spans="2:6" x14ac:dyDescent="0.2">
      <c r="B137" s="458"/>
      <c r="C137" s="458"/>
      <c r="D137" s="467"/>
      <c r="E137" s="471"/>
      <c r="F137" s="459"/>
    </row>
  </sheetData>
  <sheetProtection password="CEBE" sheet="1" objects="1" scenarios="1"/>
  <mergeCells count="8">
    <mergeCell ref="E51:F51"/>
    <mergeCell ref="E53:F53"/>
    <mergeCell ref="E52:F52"/>
    <mergeCell ref="B4:B5"/>
    <mergeCell ref="C4:C5"/>
    <mergeCell ref="D4:D5"/>
    <mergeCell ref="G2:L2"/>
    <mergeCell ref="E50:F50"/>
  </mergeCells>
  <phoneticPr fontId="24" type="noConversion"/>
  <conditionalFormatting sqref="E48">
    <cfRule type="expression" dxfId="63" priority="73" stopIfTrue="1">
      <formula>$C48="Full"</formula>
    </cfRule>
    <cfRule type="expression" dxfId="62" priority="74" stopIfTrue="1">
      <formula>$C48="Blend"</formula>
    </cfRule>
  </conditionalFormatting>
  <conditionalFormatting sqref="E7:E12 E15:E35">
    <cfRule type="expression" dxfId="61" priority="67" stopIfTrue="1">
      <formula>$D7="Full"</formula>
    </cfRule>
    <cfRule type="expression" dxfId="60" priority="68" stopIfTrue="1">
      <formula>$D7="Blend"</formula>
    </cfRule>
  </conditionalFormatting>
  <conditionalFormatting sqref="E14 E36">
    <cfRule type="expression" dxfId="59" priority="55" stopIfTrue="1">
      <formula>$D12="Full"</formula>
    </cfRule>
    <cfRule type="expression" dxfId="58" priority="56" stopIfTrue="1">
      <formula>$D12="Blend"</formula>
    </cfRule>
  </conditionalFormatting>
  <conditionalFormatting sqref="E54:E58 E7:E12 E15:E35">
    <cfRule type="expression" dxfId="57" priority="71" stopIfTrue="1">
      <formula>#REF!="Full"</formula>
    </cfRule>
    <cfRule type="expression" dxfId="56" priority="72" stopIfTrue="1">
      <formula>#REF!="Blend"</formula>
    </cfRule>
  </conditionalFormatting>
  <conditionalFormatting sqref="B48:C48">
    <cfRule type="cellIs" dxfId="55" priority="69" stopIfTrue="1" operator="equal">
      <formula>"Full"</formula>
    </cfRule>
    <cfRule type="cellIs" dxfId="54" priority="70" stopIfTrue="1" operator="equal">
      <formula>"Blend"</formula>
    </cfRule>
  </conditionalFormatting>
  <conditionalFormatting sqref="E7:E13 E15:E35">
    <cfRule type="expression" dxfId="53" priority="75" stopIfTrue="1">
      <formula>#REF!="Full"</formula>
    </cfRule>
    <cfRule type="expression" dxfId="52" priority="76" stopIfTrue="1">
      <formula>#REF!="Blend"</formula>
    </cfRule>
  </conditionalFormatting>
  <conditionalFormatting sqref="E8:E9">
    <cfRule type="expression" dxfId="51" priority="51" stopIfTrue="1">
      <formula>#REF!="Full"</formula>
    </cfRule>
    <cfRule type="expression" dxfId="50" priority="52" stopIfTrue="1">
      <formula>#REF!="Blend"</formula>
    </cfRule>
  </conditionalFormatting>
  <conditionalFormatting sqref="E8:E9">
    <cfRule type="expression" dxfId="49" priority="49" stopIfTrue="1">
      <formula>#REF!="Full"</formula>
    </cfRule>
    <cfRule type="expression" dxfId="48" priority="50" stopIfTrue="1">
      <formula>#REF!="Blend"</formula>
    </cfRule>
  </conditionalFormatting>
  <conditionalFormatting sqref="E8:E9">
    <cfRule type="expression" dxfId="47" priority="47" stopIfTrue="1">
      <formula>$C8="Full"</formula>
    </cfRule>
    <cfRule type="expression" dxfId="46" priority="48" stopIfTrue="1">
      <formula>$C8="Blend"</formula>
    </cfRule>
  </conditionalFormatting>
  <conditionalFormatting sqref="E8:E9">
    <cfRule type="expression" dxfId="45" priority="45" stopIfTrue="1">
      <formula>$C8="Full"</formula>
    </cfRule>
    <cfRule type="expression" dxfId="44" priority="46" stopIfTrue="1">
      <formula>$C8="Blend"</formula>
    </cfRule>
  </conditionalFormatting>
  <conditionalFormatting sqref="E9">
    <cfRule type="expression" dxfId="43" priority="43" stopIfTrue="1">
      <formula>#REF!="Full"</formula>
    </cfRule>
    <cfRule type="expression" dxfId="42" priority="44" stopIfTrue="1">
      <formula>#REF!="Blend"</formula>
    </cfRule>
  </conditionalFormatting>
  <conditionalFormatting sqref="E9">
    <cfRule type="expression" dxfId="41" priority="41" stopIfTrue="1">
      <formula>#REF!="Full"</formula>
    </cfRule>
    <cfRule type="expression" dxfId="40" priority="42" stopIfTrue="1">
      <formula>#REF!="Blend"</formula>
    </cfRule>
  </conditionalFormatting>
  <conditionalFormatting sqref="E9">
    <cfRule type="expression" dxfId="39" priority="39" stopIfTrue="1">
      <formula>$C9="Full"</formula>
    </cfRule>
    <cfRule type="expression" dxfId="38" priority="40" stopIfTrue="1">
      <formula>$C9="Blend"</formula>
    </cfRule>
  </conditionalFormatting>
  <conditionalFormatting sqref="E9">
    <cfRule type="expression" dxfId="37" priority="37" stopIfTrue="1">
      <formula>$C9="Full"</formula>
    </cfRule>
    <cfRule type="expression" dxfId="36" priority="38" stopIfTrue="1">
      <formula>$C9="Blend"</formula>
    </cfRule>
  </conditionalFormatting>
  <conditionalFormatting sqref="E10">
    <cfRule type="expression" dxfId="35" priority="35" stopIfTrue="1">
      <formula>#REF!="Full"</formula>
    </cfRule>
    <cfRule type="expression" dxfId="34" priority="36" stopIfTrue="1">
      <formula>#REF!="Blend"</formula>
    </cfRule>
  </conditionalFormatting>
  <conditionalFormatting sqref="E11">
    <cfRule type="expression" dxfId="33" priority="33" stopIfTrue="1">
      <formula>#REF!="Full"</formula>
    </cfRule>
    <cfRule type="expression" dxfId="32" priority="34" stopIfTrue="1">
      <formula>#REF!="Blend"</formula>
    </cfRule>
  </conditionalFormatting>
  <conditionalFormatting sqref="E11">
    <cfRule type="expression" dxfId="31" priority="31" stopIfTrue="1">
      <formula>#REF!="Full"</formula>
    </cfRule>
    <cfRule type="expression" dxfId="30" priority="32" stopIfTrue="1">
      <formula>#REF!="Blend"</formula>
    </cfRule>
  </conditionalFormatting>
  <conditionalFormatting sqref="E11">
    <cfRule type="expression" dxfId="29" priority="29" stopIfTrue="1">
      <formula>$C11="Full"</formula>
    </cfRule>
    <cfRule type="expression" dxfId="28" priority="30" stopIfTrue="1">
      <formula>$C11="Blend"</formula>
    </cfRule>
  </conditionalFormatting>
  <conditionalFormatting sqref="E11">
    <cfRule type="expression" dxfId="27" priority="27" stopIfTrue="1">
      <formula>$C11="Full"</formula>
    </cfRule>
    <cfRule type="expression" dxfId="26" priority="28" stopIfTrue="1">
      <formula>$C11="Blend"</formula>
    </cfRule>
  </conditionalFormatting>
  <conditionalFormatting sqref="E12">
    <cfRule type="expression" dxfId="25" priority="25" stopIfTrue="1">
      <formula>#REF!="Full"</formula>
    </cfRule>
    <cfRule type="expression" dxfId="24" priority="26" stopIfTrue="1">
      <formula>#REF!="Blend"</formula>
    </cfRule>
  </conditionalFormatting>
  <conditionalFormatting sqref="E21">
    <cfRule type="expression" dxfId="23" priority="23" stopIfTrue="1">
      <formula>#REF!="Full"</formula>
    </cfRule>
    <cfRule type="expression" dxfId="22" priority="24" stopIfTrue="1">
      <formula>#REF!="Blend"</formula>
    </cfRule>
  </conditionalFormatting>
  <conditionalFormatting sqref="E22">
    <cfRule type="expression" dxfId="21" priority="21" stopIfTrue="1">
      <formula>#REF!="Full"</formula>
    </cfRule>
    <cfRule type="expression" dxfId="20" priority="22" stopIfTrue="1">
      <formula>#REF!="Blend"</formula>
    </cfRule>
  </conditionalFormatting>
  <conditionalFormatting sqref="E23">
    <cfRule type="expression" dxfId="19" priority="19" stopIfTrue="1">
      <formula>#REF!="Full"</formula>
    </cfRule>
    <cfRule type="expression" dxfId="18" priority="20" stopIfTrue="1">
      <formula>#REF!="Blend"</formula>
    </cfRule>
  </conditionalFormatting>
  <conditionalFormatting sqref="E23">
    <cfRule type="expression" dxfId="17" priority="17" stopIfTrue="1">
      <formula>$C23="Full"</formula>
    </cfRule>
    <cfRule type="expression" dxfId="16" priority="18" stopIfTrue="1">
      <formula>$C23="Blend"</formula>
    </cfRule>
  </conditionalFormatting>
  <conditionalFormatting sqref="E24">
    <cfRule type="expression" dxfId="15" priority="15" stopIfTrue="1">
      <formula>#REF!="Full"</formula>
    </cfRule>
    <cfRule type="expression" dxfId="14" priority="16" stopIfTrue="1">
      <formula>#REF!="Blend"</formula>
    </cfRule>
  </conditionalFormatting>
  <conditionalFormatting sqref="E24">
    <cfRule type="expression" dxfId="13" priority="13" stopIfTrue="1">
      <formula>$C24="Full"</formula>
    </cfRule>
    <cfRule type="expression" dxfId="12" priority="14" stopIfTrue="1">
      <formula>$C24="Blend"</formula>
    </cfRule>
  </conditionalFormatting>
  <conditionalFormatting sqref="F7:J7">
    <cfRule type="expression" dxfId="11" priority="11" stopIfTrue="1">
      <formula>$D7="Full"</formula>
    </cfRule>
    <cfRule type="expression" dxfId="10" priority="12" stopIfTrue="1">
      <formula>$D7="Blend"</formula>
    </cfRule>
  </conditionalFormatting>
  <conditionalFormatting sqref="F7:J7">
    <cfRule type="expression" dxfId="9" priority="9" stopIfTrue="1">
      <formula>#REF!="Full"</formula>
    </cfRule>
    <cfRule type="expression" dxfId="8" priority="10" stopIfTrue="1">
      <formula>#REF!="Blend"</formula>
    </cfRule>
  </conditionalFormatting>
  <conditionalFormatting sqref="F7:J7">
    <cfRule type="expression" dxfId="7" priority="7" stopIfTrue="1">
      <formula>#REF!="Full"</formula>
    </cfRule>
    <cfRule type="expression" dxfId="6" priority="8" stopIfTrue="1">
      <formula>#REF!="Blend"</formula>
    </cfRule>
  </conditionalFormatting>
  <conditionalFormatting sqref="L7">
    <cfRule type="expression" dxfId="5" priority="5" stopIfTrue="1">
      <formula>$D7="Full"</formula>
    </cfRule>
    <cfRule type="expression" dxfId="4" priority="6" stopIfTrue="1">
      <formula>$D7="Blend"</formula>
    </cfRule>
  </conditionalFormatting>
  <conditionalFormatting sqref="L7">
    <cfRule type="expression" dxfId="3" priority="3" stopIfTrue="1">
      <formula>#REF!="Full"</formula>
    </cfRule>
    <cfRule type="expression" dxfId="2" priority="4" stopIfTrue="1">
      <formula>#REF!="Blend"</formula>
    </cfRule>
  </conditionalFormatting>
  <conditionalFormatting sqref="L7">
    <cfRule type="expression" dxfId="1" priority="1" stopIfTrue="1">
      <formula>#REF!="Full"</formula>
    </cfRule>
    <cfRule type="expression" dxfId="0" priority="2" stopIfTrue="1">
      <formula>#REF!="Blend"</formula>
    </cfRule>
  </conditionalFormatting>
  <pageMargins left="0.25" right="0" top="0.5" bottom="0.5" header="0.25" footer="0.25"/>
  <pageSetup scale="83"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4"/>
  <sheetViews>
    <sheetView workbookViewId="0">
      <pane xSplit="1" topLeftCell="CQ1" activePane="topRight" state="frozen"/>
      <selection pane="topRight" activeCell="CV4" sqref="CV4"/>
    </sheetView>
  </sheetViews>
  <sheetFormatPr defaultRowHeight="15" x14ac:dyDescent="0.25"/>
  <cols>
    <col min="1" max="1" width="12" bestFit="1" customWidth="1"/>
    <col min="2" max="2" width="16.28515625" style="142" customWidth="1"/>
    <col min="3" max="3" width="9.140625" style="142"/>
    <col min="4" max="4" width="9.7109375" style="142" customWidth="1"/>
    <col min="5" max="5" width="12.5703125" style="142" bestFit="1" customWidth="1"/>
    <col min="6" max="6" width="10.42578125" style="28" customWidth="1"/>
    <col min="7" max="7" width="10.7109375" style="28" customWidth="1"/>
    <col min="8" max="8" width="9.85546875" style="28" customWidth="1"/>
    <col min="9" max="9" width="12.5703125" style="28" bestFit="1" customWidth="1"/>
    <col min="10" max="10" width="10.7109375" style="28" customWidth="1"/>
    <col min="11" max="14" width="11.85546875" style="28" customWidth="1"/>
    <col min="15" max="21" width="13.140625" style="28" customWidth="1"/>
    <col min="22" max="22" width="14.42578125" style="28" customWidth="1"/>
    <col min="23" max="23" width="13.140625" style="28" customWidth="1"/>
    <col min="24" max="24" width="11.140625" customWidth="1"/>
    <col min="25" max="25" width="16.42578125" bestFit="1" customWidth="1"/>
    <col min="26" max="26" width="11.85546875" customWidth="1"/>
    <col min="27" max="28" width="15.28515625" customWidth="1"/>
    <col min="29" max="29" width="13.28515625" bestFit="1" customWidth="1"/>
    <col min="30" max="30" width="10.28515625" bestFit="1" customWidth="1"/>
    <col min="31" max="31" width="11.85546875" customWidth="1"/>
    <col min="32" max="32" width="15.85546875" customWidth="1"/>
    <col min="33" max="33" width="10.85546875" customWidth="1"/>
    <col min="34" max="35" width="15.7109375" customWidth="1"/>
    <col min="36" max="36" width="11.85546875" bestFit="1" customWidth="1"/>
    <col min="37" max="37" width="11.42578125" customWidth="1"/>
    <col min="38" max="38" width="15.7109375" customWidth="1"/>
    <col min="39" max="39" width="11.5703125" bestFit="1" customWidth="1"/>
    <col min="40" max="41" width="11.5703125" customWidth="1"/>
    <col min="42" max="42" width="10.5703125" customWidth="1"/>
    <col min="43" max="43" width="11.5703125" customWidth="1"/>
    <col min="44" max="44" width="10.85546875" customWidth="1"/>
    <col min="45" max="47" width="12.5703125" bestFit="1" customWidth="1"/>
    <col min="48" max="49" width="14.28515625" bestFit="1" customWidth="1"/>
    <col min="50" max="50" width="11.85546875" customWidth="1"/>
    <col min="51" max="52" width="9.28515625" bestFit="1" customWidth="1"/>
    <col min="53" max="53" width="10.28515625" customWidth="1"/>
    <col min="54" max="55" width="12.5703125" bestFit="1" customWidth="1"/>
    <col min="56" max="56" width="10.28515625" customWidth="1"/>
    <col min="57" max="57" width="10.5703125" customWidth="1"/>
    <col min="58" max="58" width="11.5703125" bestFit="1" customWidth="1"/>
    <col min="59" max="59" width="14.28515625" customWidth="1"/>
    <col min="60" max="60" width="14.28515625" bestFit="1" customWidth="1"/>
    <col min="61" max="61" width="15.42578125" customWidth="1"/>
    <col min="62" max="64" width="12.5703125" bestFit="1" customWidth="1"/>
    <col min="65" max="65" width="15.7109375" customWidth="1"/>
    <col min="66" max="67" width="11.5703125" bestFit="1" customWidth="1"/>
    <col min="68" max="68" width="14.28515625" bestFit="1" customWidth="1"/>
    <col min="76" max="82" width="9.28515625" customWidth="1"/>
    <col min="91" max="91" width="11.85546875" customWidth="1"/>
    <col min="93" max="93" width="11.140625" customWidth="1"/>
    <col min="94" max="94" width="10.28515625" customWidth="1"/>
    <col min="95" max="96" width="11.7109375" customWidth="1"/>
    <col min="97" max="97" width="10.7109375" customWidth="1"/>
    <col min="98" max="98" width="11.140625" customWidth="1"/>
    <col min="99" max="99" width="11.7109375" customWidth="1"/>
    <col min="100" max="100" width="10.5703125" bestFit="1" customWidth="1"/>
    <col min="101" max="101" width="11.85546875" customWidth="1"/>
    <col min="102" max="102" width="12" customWidth="1"/>
    <col min="103" max="103" width="11.5703125" customWidth="1"/>
    <col min="104" max="104" width="12.5703125" bestFit="1" customWidth="1"/>
    <col min="105" max="105" width="11.28515625" customWidth="1"/>
    <col min="106" max="106" width="10.85546875" customWidth="1"/>
    <col min="107" max="108" width="14.28515625" bestFit="1" customWidth="1"/>
    <col min="109" max="109" width="12.5703125" bestFit="1" customWidth="1"/>
    <col min="110" max="110" width="14.28515625" bestFit="1" customWidth="1"/>
    <col min="111" max="111" width="11.7109375" customWidth="1"/>
    <col min="112" max="112" width="14.28515625" bestFit="1" customWidth="1"/>
    <col min="113" max="113" width="11.5703125" bestFit="1" customWidth="1"/>
    <col min="115" max="115" width="11.140625" bestFit="1" customWidth="1"/>
    <col min="116" max="117" width="14.28515625" bestFit="1" customWidth="1"/>
    <col min="118" max="118" width="12.5703125" bestFit="1" customWidth="1"/>
  </cols>
  <sheetData>
    <row r="1" spans="1:121" ht="33" customHeight="1" thickBot="1" x14ac:dyDescent="0.35">
      <c r="A1" s="187" t="s">
        <v>389</v>
      </c>
      <c r="B1" s="36"/>
      <c r="C1"/>
      <c r="D1"/>
      <c r="E1"/>
      <c r="F1"/>
      <c r="G1"/>
      <c r="H1"/>
      <c r="I1"/>
      <c r="J1"/>
      <c r="K1"/>
      <c r="L1"/>
      <c r="M1"/>
      <c r="N1"/>
      <c r="O1"/>
      <c r="P1"/>
      <c r="Q1"/>
      <c r="R1"/>
      <c r="S1"/>
      <c r="T1"/>
      <c r="U1"/>
      <c r="V1"/>
      <c r="W1"/>
    </row>
    <row r="2" spans="1:121" s="152" customFormat="1" thickBot="1" x14ac:dyDescent="0.35">
      <c r="A2" s="122" t="s">
        <v>287</v>
      </c>
      <c r="B2" s="123" t="s">
        <v>278</v>
      </c>
      <c r="C2" s="124"/>
      <c r="D2" s="125" t="s">
        <v>164</v>
      </c>
      <c r="E2" s="126"/>
      <c r="F2" s="126"/>
      <c r="G2" s="126"/>
      <c r="H2" s="126"/>
      <c r="I2" s="126"/>
      <c r="J2" s="126"/>
      <c r="K2" s="126"/>
      <c r="L2" s="126"/>
      <c r="M2" s="126"/>
      <c r="N2" s="126"/>
      <c r="O2" s="126"/>
      <c r="P2" s="126"/>
      <c r="Q2" s="126"/>
      <c r="R2" s="126"/>
      <c r="S2" s="126"/>
      <c r="T2" s="126"/>
      <c r="U2" s="126"/>
      <c r="V2" s="126"/>
      <c r="W2" s="127"/>
      <c r="X2" s="128" t="s">
        <v>288</v>
      </c>
      <c r="Y2" s="129" t="s">
        <v>288</v>
      </c>
      <c r="Z2" s="129" t="s">
        <v>288</v>
      </c>
      <c r="AA2" s="129" t="s">
        <v>288</v>
      </c>
      <c r="AB2" s="129" t="s">
        <v>288</v>
      </c>
      <c r="AC2" s="129" t="s">
        <v>288</v>
      </c>
      <c r="AD2" s="129" t="s">
        <v>288</v>
      </c>
      <c r="AE2" s="129" t="s">
        <v>288</v>
      </c>
      <c r="AF2" s="129" t="s">
        <v>288</v>
      </c>
      <c r="AG2" s="129" t="s">
        <v>288</v>
      </c>
      <c r="AH2" s="129" t="s">
        <v>288</v>
      </c>
      <c r="AI2" s="129" t="s">
        <v>288</v>
      </c>
      <c r="AJ2" s="129" t="s">
        <v>288</v>
      </c>
      <c r="AK2" s="129" t="s">
        <v>288</v>
      </c>
      <c r="AL2" s="129" t="s">
        <v>288</v>
      </c>
      <c r="AM2" s="129" t="s">
        <v>288</v>
      </c>
      <c r="AN2" s="129" t="s">
        <v>288</v>
      </c>
      <c r="AO2" s="129" t="s">
        <v>288</v>
      </c>
      <c r="AP2" s="129" t="s">
        <v>288</v>
      </c>
      <c r="AQ2" s="129" t="s">
        <v>288</v>
      </c>
      <c r="AR2" s="129" t="s">
        <v>289</v>
      </c>
      <c r="AS2" s="129" t="s">
        <v>288</v>
      </c>
      <c r="AT2" s="129" t="s">
        <v>288</v>
      </c>
      <c r="AU2" s="129" t="s">
        <v>288</v>
      </c>
      <c r="AV2" s="129" t="s">
        <v>288</v>
      </c>
      <c r="AW2" s="129" t="s">
        <v>288</v>
      </c>
      <c r="AX2" s="129" t="s">
        <v>288</v>
      </c>
      <c r="AY2" s="129" t="s">
        <v>288</v>
      </c>
      <c r="AZ2" s="129" t="s">
        <v>288</v>
      </c>
      <c r="BA2" s="129" t="s">
        <v>288</v>
      </c>
      <c r="BB2" s="129" t="s">
        <v>289</v>
      </c>
      <c r="BC2" s="129" t="s">
        <v>289</v>
      </c>
      <c r="BD2" s="129" t="s">
        <v>289</v>
      </c>
      <c r="BE2" s="129" t="s">
        <v>289</v>
      </c>
      <c r="BF2" s="129" t="s">
        <v>289</v>
      </c>
      <c r="BG2" s="129" t="s">
        <v>289</v>
      </c>
      <c r="BH2" s="129" t="s">
        <v>289</v>
      </c>
      <c r="BI2" s="129" t="s">
        <v>289</v>
      </c>
      <c r="BJ2" s="129" t="s">
        <v>289</v>
      </c>
      <c r="BK2" s="129" t="s">
        <v>289</v>
      </c>
      <c r="BL2" s="129" t="s">
        <v>289</v>
      </c>
      <c r="BM2" s="129" t="s">
        <v>289</v>
      </c>
      <c r="BN2" s="129" t="s">
        <v>289</v>
      </c>
      <c r="BO2" s="129" t="s">
        <v>289</v>
      </c>
      <c r="BP2" s="129" t="s">
        <v>289</v>
      </c>
      <c r="BQ2" s="188" t="s">
        <v>333</v>
      </c>
      <c r="BR2" s="189" t="s">
        <v>333</v>
      </c>
      <c r="BS2" s="189" t="s">
        <v>333</v>
      </c>
      <c r="BT2" s="189" t="s">
        <v>333</v>
      </c>
      <c r="BU2" s="189" t="s">
        <v>333</v>
      </c>
      <c r="BV2" s="189" t="s">
        <v>333</v>
      </c>
      <c r="BW2" s="189" t="s">
        <v>333</v>
      </c>
      <c r="BX2" s="182" t="s">
        <v>333</v>
      </c>
      <c r="BY2" s="182" t="s">
        <v>333</v>
      </c>
      <c r="BZ2" s="182" t="s">
        <v>333</v>
      </c>
      <c r="CA2" s="182" t="s">
        <v>333</v>
      </c>
      <c r="CB2" s="182" t="s">
        <v>333</v>
      </c>
      <c r="CC2" s="182" t="s">
        <v>333</v>
      </c>
      <c r="CD2" s="182" t="s">
        <v>333</v>
      </c>
      <c r="CE2" s="190" t="s">
        <v>333</v>
      </c>
      <c r="CF2" s="190" t="s">
        <v>333</v>
      </c>
      <c r="CG2" s="190" t="s">
        <v>333</v>
      </c>
      <c r="CH2" s="190" t="s">
        <v>333</v>
      </c>
      <c r="CI2" s="190" t="s">
        <v>333</v>
      </c>
      <c r="CJ2" s="190" t="s">
        <v>333</v>
      </c>
      <c r="CK2" s="182" t="s">
        <v>333</v>
      </c>
      <c r="CL2" s="182" t="s">
        <v>333</v>
      </c>
      <c r="CM2" s="182" t="s">
        <v>333</v>
      </c>
      <c r="CN2" s="182" t="s">
        <v>333</v>
      </c>
      <c r="CO2" s="182" t="s">
        <v>333</v>
      </c>
      <c r="CP2" s="189" t="s">
        <v>333</v>
      </c>
      <c r="CQ2" s="189" t="s">
        <v>333</v>
      </c>
      <c r="CR2" s="189" t="s">
        <v>333</v>
      </c>
      <c r="CS2" s="190" t="s">
        <v>333</v>
      </c>
      <c r="CT2" s="190" t="s">
        <v>333</v>
      </c>
      <c r="CU2" s="190" t="s">
        <v>333</v>
      </c>
      <c r="CV2" s="190" t="s">
        <v>333</v>
      </c>
      <c r="CW2" s="182" t="s">
        <v>333</v>
      </c>
      <c r="CX2" s="182" t="s">
        <v>333</v>
      </c>
      <c r="CY2" s="182" t="s">
        <v>333</v>
      </c>
      <c r="CZ2" s="189" t="s">
        <v>333</v>
      </c>
      <c r="DA2" s="189" t="s">
        <v>333</v>
      </c>
      <c r="DB2" s="189" t="s">
        <v>333</v>
      </c>
      <c r="DC2" s="189" t="s">
        <v>333</v>
      </c>
      <c r="DD2" s="189" t="s">
        <v>333</v>
      </c>
      <c r="DE2" s="190" t="s">
        <v>333</v>
      </c>
      <c r="DF2" s="190" t="s">
        <v>333</v>
      </c>
      <c r="DG2" s="190" t="s">
        <v>333</v>
      </c>
      <c r="DH2" s="190" t="s">
        <v>333</v>
      </c>
      <c r="DI2" s="182" t="s">
        <v>333</v>
      </c>
      <c r="DJ2" s="182" t="s">
        <v>333</v>
      </c>
      <c r="DK2" s="182" t="s">
        <v>333</v>
      </c>
      <c r="DL2" s="189" t="s">
        <v>333</v>
      </c>
      <c r="DM2" s="189" t="s">
        <v>333</v>
      </c>
      <c r="DN2" s="189" t="s">
        <v>333</v>
      </c>
      <c r="DO2" s="190" t="s">
        <v>333</v>
      </c>
      <c r="DP2" s="190" t="s">
        <v>333</v>
      </c>
      <c r="DQ2" s="191" t="s">
        <v>333</v>
      </c>
    </row>
    <row r="3" spans="1:121" s="176" customFormat="1" ht="72" x14ac:dyDescent="0.3">
      <c r="A3" s="177" t="s">
        <v>290</v>
      </c>
      <c r="B3" s="153" t="s">
        <v>167</v>
      </c>
      <c r="C3" s="153" t="s">
        <v>166</v>
      </c>
      <c r="D3" s="153" t="s">
        <v>291</v>
      </c>
      <c r="E3" s="154" t="s">
        <v>292</v>
      </c>
      <c r="F3" s="155" t="s">
        <v>293</v>
      </c>
      <c r="G3" s="156" t="s">
        <v>294</v>
      </c>
      <c r="H3" s="157" t="s">
        <v>295</v>
      </c>
      <c r="I3" s="158" t="s">
        <v>296</v>
      </c>
      <c r="J3" s="158" t="s">
        <v>297</v>
      </c>
      <c r="K3" s="158" t="s">
        <v>298</v>
      </c>
      <c r="L3" s="158" t="s">
        <v>299</v>
      </c>
      <c r="M3" s="158" t="s">
        <v>300</v>
      </c>
      <c r="N3" s="158" t="s">
        <v>301</v>
      </c>
      <c r="O3" s="159" t="s">
        <v>238</v>
      </c>
      <c r="P3" s="160" t="s">
        <v>238</v>
      </c>
      <c r="Q3" s="158" t="s">
        <v>390</v>
      </c>
      <c r="R3" s="158" t="s">
        <v>203</v>
      </c>
      <c r="S3" s="158" t="s">
        <v>103</v>
      </c>
      <c r="T3" s="158" t="s">
        <v>104</v>
      </c>
      <c r="U3" s="158" t="s">
        <v>105</v>
      </c>
      <c r="V3" s="158" t="s">
        <v>106</v>
      </c>
      <c r="W3" s="161" t="s">
        <v>165</v>
      </c>
      <c r="X3" s="162" t="s">
        <v>302</v>
      </c>
      <c r="Y3" s="153" t="s">
        <v>303</v>
      </c>
      <c r="Z3" s="153" t="s">
        <v>304</v>
      </c>
      <c r="AA3" s="153" t="s">
        <v>305</v>
      </c>
      <c r="AB3" s="153" t="s">
        <v>401</v>
      </c>
      <c r="AC3" s="163" t="s">
        <v>115</v>
      </c>
      <c r="AD3" s="164" t="s">
        <v>116</v>
      </c>
      <c r="AE3" s="165" t="s">
        <v>306</v>
      </c>
      <c r="AF3" s="166" t="s">
        <v>307</v>
      </c>
      <c r="AG3" s="166" t="s">
        <v>308</v>
      </c>
      <c r="AH3" s="166" t="s">
        <v>309</v>
      </c>
      <c r="AI3" s="166" t="s">
        <v>400</v>
      </c>
      <c r="AJ3" s="166" t="s">
        <v>310</v>
      </c>
      <c r="AK3" s="167" t="s">
        <v>311</v>
      </c>
      <c r="AL3" s="168" t="s">
        <v>168</v>
      </c>
      <c r="AM3" s="169" t="s">
        <v>232</v>
      </c>
      <c r="AN3" s="165" t="s">
        <v>391</v>
      </c>
      <c r="AO3" s="166" t="s">
        <v>392</v>
      </c>
      <c r="AP3" s="166" t="s">
        <v>393</v>
      </c>
      <c r="AQ3" s="166" t="s">
        <v>394</v>
      </c>
      <c r="AR3" s="166" t="s">
        <v>331</v>
      </c>
      <c r="AS3" s="166" t="s">
        <v>312</v>
      </c>
      <c r="AT3" s="166" t="s">
        <v>313</v>
      </c>
      <c r="AU3" s="166" t="s">
        <v>314</v>
      </c>
      <c r="AV3" s="166" t="s">
        <v>315</v>
      </c>
      <c r="AW3" s="166" t="s">
        <v>316</v>
      </c>
      <c r="AX3" s="166" t="s">
        <v>317</v>
      </c>
      <c r="AY3" s="165" t="s">
        <v>318</v>
      </c>
      <c r="AZ3" s="166" t="s">
        <v>319</v>
      </c>
      <c r="BA3" s="167" t="s">
        <v>320</v>
      </c>
      <c r="BB3" s="170" t="s">
        <v>321</v>
      </c>
      <c r="BC3" s="171" t="s">
        <v>322</v>
      </c>
      <c r="BD3" s="171" t="s">
        <v>103</v>
      </c>
      <c r="BE3" s="171" t="s">
        <v>104</v>
      </c>
      <c r="BF3" s="171" t="s">
        <v>105</v>
      </c>
      <c r="BG3" s="171" t="s">
        <v>106</v>
      </c>
      <c r="BH3" s="172" t="s">
        <v>221</v>
      </c>
      <c r="BI3" s="169" t="s">
        <v>216</v>
      </c>
      <c r="BJ3" s="173" t="s">
        <v>323</v>
      </c>
      <c r="BK3" s="174" t="s">
        <v>324</v>
      </c>
      <c r="BL3" s="174" t="s">
        <v>325</v>
      </c>
      <c r="BM3" s="174" t="s">
        <v>326</v>
      </c>
      <c r="BN3" s="174" t="s">
        <v>327</v>
      </c>
      <c r="BO3" s="174" t="s">
        <v>235</v>
      </c>
      <c r="BP3" s="175" t="s">
        <v>316</v>
      </c>
      <c r="BQ3" s="181" t="s">
        <v>334</v>
      </c>
      <c r="BR3" s="181" t="s">
        <v>341</v>
      </c>
      <c r="BS3" s="181" t="s">
        <v>335</v>
      </c>
      <c r="BT3" s="181" t="s">
        <v>336</v>
      </c>
      <c r="BU3" s="181" t="s">
        <v>337</v>
      </c>
      <c r="BV3" s="181" t="s">
        <v>338</v>
      </c>
      <c r="BW3" s="192" t="s">
        <v>345</v>
      </c>
      <c r="BX3" s="183" t="s">
        <v>339</v>
      </c>
      <c r="BY3" s="183" t="s">
        <v>340</v>
      </c>
      <c r="BZ3" s="183" t="s">
        <v>342</v>
      </c>
      <c r="CA3" s="183" t="s">
        <v>343</v>
      </c>
      <c r="CB3" s="183" t="s">
        <v>402</v>
      </c>
      <c r="CC3" s="183" t="s">
        <v>403</v>
      </c>
      <c r="CD3" s="194" t="s">
        <v>344</v>
      </c>
      <c r="CE3" s="180" t="s">
        <v>346</v>
      </c>
      <c r="CF3" s="180" t="s">
        <v>347</v>
      </c>
      <c r="CG3" s="180" t="s">
        <v>348</v>
      </c>
      <c r="CH3" s="180" t="s">
        <v>349</v>
      </c>
      <c r="CI3" s="180" t="s">
        <v>350</v>
      </c>
      <c r="CJ3" s="196" t="s">
        <v>351</v>
      </c>
      <c r="CK3" s="183" t="s">
        <v>353</v>
      </c>
      <c r="CL3" s="183" t="s">
        <v>354</v>
      </c>
      <c r="CM3" s="183" t="s">
        <v>355</v>
      </c>
      <c r="CN3" s="183" t="s">
        <v>352</v>
      </c>
      <c r="CO3" s="194" t="s">
        <v>356</v>
      </c>
      <c r="CP3" s="181" t="s">
        <v>357</v>
      </c>
      <c r="CQ3" s="181" t="s">
        <v>358</v>
      </c>
      <c r="CR3" s="192" t="s">
        <v>359</v>
      </c>
      <c r="CS3" s="180" t="s">
        <v>360</v>
      </c>
      <c r="CT3" s="180" t="s">
        <v>361</v>
      </c>
      <c r="CU3" s="180" t="s">
        <v>362</v>
      </c>
      <c r="CV3" s="196" t="s">
        <v>363</v>
      </c>
      <c r="CW3" s="183" t="s">
        <v>364</v>
      </c>
      <c r="CX3" s="183" t="s">
        <v>365</v>
      </c>
      <c r="CY3" s="194" t="s">
        <v>366</v>
      </c>
      <c r="CZ3" s="181" t="s">
        <v>367</v>
      </c>
      <c r="DA3" s="181" t="s">
        <v>368</v>
      </c>
      <c r="DB3" s="181" t="s">
        <v>369</v>
      </c>
      <c r="DC3" s="181" t="s">
        <v>370</v>
      </c>
      <c r="DD3" s="192" t="s">
        <v>371</v>
      </c>
      <c r="DE3" s="180" t="s">
        <v>372</v>
      </c>
      <c r="DF3" s="180" t="s">
        <v>373</v>
      </c>
      <c r="DG3" s="180" t="s">
        <v>374</v>
      </c>
      <c r="DH3" s="196" t="s">
        <v>375</v>
      </c>
      <c r="DI3" s="183" t="s">
        <v>376</v>
      </c>
      <c r="DJ3" s="183" t="s">
        <v>377</v>
      </c>
      <c r="DK3" s="194" t="s">
        <v>378</v>
      </c>
      <c r="DL3" s="181" t="s">
        <v>379</v>
      </c>
      <c r="DM3" s="181" t="s">
        <v>375</v>
      </c>
      <c r="DN3" s="192" t="s">
        <v>380</v>
      </c>
      <c r="DO3" s="180" t="s">
        <v>381</v>
      </c>
      <c r="DP3" s="180" t="s">
        <v>382</v>
      </c>
      <c r="DQ3" s="196" t="s">
        <v>383</v>
      </c>
    </row>
    <row r="4" spans="1:121" s="28" customFormat="1" ht="18" x14ac:dyDescent="0.3">
      <c r="A4" s="130" t="s">
        <v>328</v>
      </c>
      <c r="B4" s="131">
        <f>'Employee Direct Care'!C4</f>
        <v>0.28000000000000003</v>
      </c>
      <c r="C4" s="132">
        <f>'Employee Direct Care'!C5</f>
        <v>40</v>
      </c>
      <c r="D4" s="204">
        <f>'Indirect Care Costs'!F38</f>
        <v>5.55</v>
      </c>
      <c r="E4" s="508">
        <f>'Indirect Care Costs'!G38+'Employee Direct Care'!E9</f>
        <v>279082.11200000002</v>
      </c>
      <c r="F4" s="202">
        <f>'Indirect Care Costs'!K38</f>
        <v>3.35</v>
      </c>
      <c r="G4" s="509">
        <f>'Indirect Care Costs'!L38</f>
        <v>490360</v>
      </c>
      <c r="H4" s="201">
        <f>'Indirect Care Costs'!D38</f>
        <v>0.45</v>
      </c>
      <c r="I4" s="510">
        <f>'Indirect Care Costs'!E38+'Employee Direct Care'!E10</f>
        <v>24993.407999999999</v>
      </c>
      <c r="J4" s="202">
        <f>'Indirect Care Costs'!I38</f>
        <v>0.15000000000000002</v>
      </c>
      <c r="K4" s="135">
        <f>'Indirect Care Costs'!J38</f>
        <v>45240</v>
      </c>
      <c r="L4" s="203">
        <f>'Indirect Care Costs'!D18</f>
        <v>6.2</v>
      </c>
      <c r="M4" s="135">
        <f>'Indirect Care Costs'!E18</f>
        <v>190977</v>
      </c>
      <c r="N4" s="203">
        <f>H4+L4</f>
        <v>6.65</v>
      </c>
      <c r="O4" s="133">
        <f>I4+M4</f>
        <v>215970.408</v>
      </c>
      <c r="P4" s="146">
        <f>'Indirect Care Costs'!K7</f>
        <v>210503.1</v>
      </c>
      <c r="Q4" s="146">
        <f>'Indirect Care Costs'!K8</f>
        <v>58941</v>
      </c>
      <c r="R4" s="146">
        <f>'Indirect Care Costs'!K9</f>
        <v>45240</v>
      </c>
      <c r="S4" s="146">
        <f>'Indirect Care Costs'!K10</f>
        <v>97500</v>
      </c>
      <c r="T4" s="146">
        <f>'Indirect Care Costs'!K11</f>
        <v>5200</v>
      </c>
      <c r="U4" s="146">
        <f>'Indirect Care Costs'!K12</f>
        <v>50125</v>
      </c>
      <c r="V4" s="146">
        <f>'Indirect Care Costs'!K13</f>
        <v>129978.86</v>
      </c>
      <c r="W4" s="146">
        <f>'Indirect Care Costs'!K15</f>
        <v>597487.96</v>
      </c>
      <c r="X4" s="137">
        <f>'Model Analysis'!B6</f>
        <v>138.97</v>
      </c>
      <c r="Y4" s="137">
        <f>'Model Analysis'!B7</f>
        <v>138.97</v>
      </c>
      <c r="Z4" s="137">
        <f>'Model Analysis'!B8</f>
        <v>65</v>
      </c>
      <c r="AA4" s="137">
        <f>'Model Analysis'!B9</f>
        <v>69.484999999999999</v>
      </c>
      <c r="AB4" s="137">
        <f>'Model Analysis'!B10</f>
        <v>0</v>
      </c>
      <c r="AC4" s="137">
        <f>'Model Analysis'!B11</f>
        <v>0</v>
      </c>
      <c r="AD4" s="137">
        <f>'Model Analysis'!B12</f>
        <v>62</v>
      </c>
      <c r="AE4" s="138">
        <f>'Model Analysis'!C6</f>
        <v>0.3</v>
      </c>
      <c r="AF4" s="138">
        <f>'Model Analysis'!C7</f>
        <v>0.28999999999999998</v>
      </c>
      <c r="AG4" s="138">
        <f>'Model Analysis'!C8</f>
        <v>0.23</v>
      </c>
      <c r="AH4" s="138">
        <f>'Model Analysis'!C9</f>
        <v>0.05</v>
      </c>
      <c r="AI4" s="138">
        <f>'Model Analysis'!C10</f>
        <v>0.03</v>
      </c>
      <c r="AJ4" s="138">
        <f>'Model Analysis'!C11</f>
        <v>0.03</v>
      </c>
      <c r="AK4" s="138">
        <f>'Model Analysis'!C12</f>
        <v>7.0000000000000007E-2</v>
      </c>
      <c r="AL4" s="138">
        <f>'Model Analysis'!F6</f>
        <v>0.57999999999999996</v>
      </c>
      <c r="AM4" s="139">
        <f>'Model Analysis'!F8</f>
        <v>12000</v>
      </c>
      <c r="AN4" s="140">
        <f>'Model Analysis'!C17</f>
        <v>1206</v>
      </c>
      <c r="AO4" s="140">
        <f>'Model Analysis'!C18</f>
        <v>1875</v>
      </c>
      <c r="AP4" s="70">
        <f>'Model Analysis'!D17</f>
        <v>6693</v>
      </c>
      <c r="AQ4" s="70">
        <f>'Model Analysis'!D18</f>
        <v>6282</v>
      </c>
      <c r="AR4" s="70">
        <f>'Benchmark Summary'!B11</f>
        <v>12975</v>
      </c>
      <c r="AS4" s="135">
        <f>'Model Analysis'!E17</f>
        <v>279082.11200000002</v>
      </c>
      <c r="AT4" s="135">
        <f>'Model Analysis'!E18</f>
        <v>490360</v>
      </c>
      <c r="AU4" s="135">
        <f>'Model Analysis'!E19</f>
        <v>597487.96</v>
      </c>
      <c r="AV4" s="135">
        <f>'Model Analysis'!B25</f>
        <v>1366930.0719999999</v>
      </c>
      <c r="AW4" s="135">
        <f>'Model Analysis'!B26</f>
        <v>1371216</v>
      </c>
      <c r="AX4" s="146">
        <f>'Model Analysis'!B28</f>
        <v>4285.9280000000726</v>
      </c>
      <c r="AY4" s="149">
        <f>'Model Analysis'!C25</f>
        <v>105.35106527938342</v>
      </c>
      <c r="AZ4" s="148">
        <f>'Model Analysis'!C26</f>
        <v>105.68</v>
      </c>
      <c r="BA4" s="141">
        <f>'Model Analysis'!C28</f>
        <v>0.32893472061658713</v>
      </c>
      <c r="BB4" s="135">
        <f>'Benchmark Summary'!E7</f>
        <v>428536</v>
      </c>
      <c r="BC4" s="135">
        <f>'Benchmark Summary'!E8</f>
        <v>119990</v>
      </c>
      <c r="BD4" s="135">
        <f>'Benchmark Summary'!$E9</f>
        <v>633100</v>
      </c>
      <c r="BE4" s="135">
        <f>'Benchmark Summary'!$E10</f>
        <v>5200</v>
      </c>
      <c r="BF4" s="135">
        <f>'Benchmark Summary'!$E11</f>
        <v>50125</v>
      </c>
      <c r="BG4" s="135">
        <f>'Benchmark Summary'!$E12</f>
        <v>129978.86</v>
      </c>
      <c r="BH4" s="135">
        <f>'Benchmark Summary'!$E13</f>
        <v>1366929.86</v>
      </c>
      <c r="BI4" s="138">
        <f>'Benchmark Summary'!B33</f>
        <v>0.56000000000000005</v>
      </c>
      <c r="BJ4" s="135">
        <f>'Benchmark Summary'!$E16</f>
        <v>540941</v>
      </c>
      <c r="BK4" s="135">
        <f>'Benchmark Summary'!$E17</f>
        <v>522909</v>
      </c>
      <c r="BL4" s="135">
        <f>'Benchmark Summary'!$E18</f>
        <v>193976</v>
      </c>
      <c r="BM4" s="135">
        <f>'Benchmark Summary'!$E19</f>
        <v>45078</v>
      </c>
      <c r="BN4" s="135">
        <f>'Benchmark Summary'!$E20</f>
        <v>56312</v>
      </c>
      <c r="BO4" s="135">
        <f>'Benchmark Summary'!$E21</f>
        <v>12000</v>
      </c>
      <c r="BP4" s="151">
        <f>'Benchmark Summary'!$E22</f>
        <v>1371216</v>
      </c>
      <c r="BQ4" s="137">
        <f>'Quick Analysis'!B6</f>
        <v>138.97</v>
      </c>
      <c r="BR4" s="137">
        <f>'Quick Analysis'!B7</f>
        <v>138.97</v>
      </c>
      <c r="BS4" s="137">
        <f>'Quick Analysis'!B8</f>
        <v>65</v>
      </c>
      <c r="BT4" s="137">
        <f>'Quick Analysis'!B9</f>
        <v>69.484999999999999</v>
      </c>
      <c r="BU4" s="137">
        <f>'Quick Analysis'!B11</f>
        <v>0</v>
      </c>
      <c r="BV4" s="137">
        <f>'Quick Analysis'!B12</f>
        <v>62</v>
      </c>
      <c r="BW4" s="193">
        <f>'Quick Analysis'!B13</f>
        <v>104.76</v>
      </c>
      <c r="BX4" s="138">
        <f>'Quick Analysis'!C6</f>
        <v>0.3</v>
      </c>
      <c r="BY4" s="138">
        <f>'Quick Analysis'!C7</f>
        <v>0.28999999999999998</v>
      </c>
      <c r="BZ4" s="138">
        <f>'Quick Analysis'!C8</f>
        <v>0.23</v>
      </c>
      <c r="CA4" s="138">
        <f>'Quick Analysis'!C9</f>
        <v>0.05</v>
      </c>
      <c r="CB4" s="138">
        <f>'Quick Analysis'!C10</f>
        <v>0.03</v>
      </c>
      <c r="CC4" s="138">
        <f>'Quick Analysis'!C11</f>
        <v>0.03</v>
      </c>
      <c r="CD4" s="195">
        <f>'Quick Analysis'!C12</f>
        <v>7.0000000000000007E-2</v>
      </c>
      <c r="CE4" s="178">
        <f>'Quick Analysis'!F5</f>
        <v>0.57999999999999996</v>
      </c>
      <c r="CF4" s="481">
        <f>'Quick Analysis'!F6</f>
        <v>40</v>
      </c>
      <c r="CG4" s="148">
        <f>'Quick Analysis'!F7</f>
        <v>45</v>
      </c>
      <c r="CH4" s="134">
        <f>'Quick Analysis'!F9</f>
        <v>1.2</v>
      </c>
      <c r="CI4" s="70">
        <f>'Quick Analysis'!F10</f>
        <v>52</v>
      </c>
      <c r="CJ4" s="197">
        <f>'Quick Analysis'!F11</f>
        <v>0.15</v>
      </c>
      <c r="CK4" s="201">
        <f>'Quick Analysis'!B16</f>
        <v>5.55</v>
      </c>
      <c r="CL4" s="201">
        <f>'Quick Analysis'!B17</f>
        <v>2.5</v>
      </c>
      <c r="CM4" s="201">
        <f>'Quick Analysis'!B18</f>
        <v>1</v>
      </c>
      <c r="CN4" s="201">
        <f>'Quick Analysis'!B20</f>
        <v>9.0500000000000007</v>
      </c>
      <c r="CO4" s="195">
        <f>'Quick Analysis'!B22</f>
        <v>0.56000000000000005</v>
      </c>
      <c r="CP4" s="140">
        <f>'Quick Analysis'!C16</f>
        <v>1206.3999999999999</v>
      </c>
      <c r="CQ4" s="140">
        <f>'Quick Analysis'!C17</f>
        <v>1664</v>
      </c>
      <c r="CR4" s="198">
        <f>'Quick Analysis'!C18</f>
        <v>2121.6</v>
      </c>
      <c r="CS4" s="140">
        <f>'Quick Analysis'!D16</f>
        <v>6695.5199999999986</v>
      </c>
      <c r="CT4" s="140">
        <f>'Quick Analysis'!D17</f>
        <v>4160</v>
      </c>
      <c r="CU4" s="140">
        <f>'Quick Analysis'!C18</f>
        <v>2121.6</v>
      </c>
      <c r="CV4" s="198">
        <f>'Quick Analysis'!D20</f>
        <v>12977.119999999999</v>
      </c>
      <c r="CW4" s="184">
        <f>'Quick Analysis'!E16</f>
        <v>50285</v>
      </c>
      <c r="CX4" s="184">
        <f>'Quick Analysis'!E17</f>
        <v>93600</v>
      </c>
      <c r="CY4" s="199">
        <f>'Quick Analysis'!E18</f>
        <v>256360</v>
      </c>
      <c r="CZ4" s="135">
        <f>'Quick Analysis'!F16</f>
        <v>279081.75</v>
      </c>
      <c r="DA4" s="135">
        <f>'Quick Analysis'!F17</f>
        <v>234000</v>
      </c>
      <c r="DB4" s="135">
        <f>'Quick Analysis'!F18</f>
        <v>256360</v>
      </c>
      <c r="DC4" s="135">
        <f>'Quick Analysis'!F19</f>
        <v>597488</v>
      </c>
      <c r="DD4" s="133">
        <f>'Quick Analysis'!F20</f>
        <v>1366929.75</v>
      </c>
      <c r="DE4" s="135">
        <f>'Quick Analysis'!G16</f>
        <v>701422.67519999994</v>
      </c>
      <c r="DF4" s="135">
        <f>'Quick Analysis'!G17</f>
        <v>435801.60000000003</v>
      </c>
      <c r="DG4" s="135">
        <f>'Quick Analysis'!G18</f>
        <v>222258.81599999999</v>
      </c>
      <c r="DH4" s="133">
        <f>'Quick Analysis'!G20</f>
        <v>1371483.0912000001</v>
      </c>
      <c r="DI4" s="136">
        <f>'Quick Analysis'!H16</f>
        <v>2.5133233369792181</v>
      </c>
      <c r="DJ4" s="136">
        <f>'Quick Analysis'!H17</f>
        <v>1.8624000000000001</v>
      </c>
      <c r="DK4" s="200">
        <f>'Quick Analysis'!H18</f>
        <v>0.86697931034482756</v>
      </c>
      <c r="DL4" s="135">
        <f>'Quick Analysis'!B25</f>
        <v>1366929.75</v>
      </c>
      <c r="DM4" s="135">
        <f>'Quick Analysis'!B26</f>
        <v>1371483.0912000001</v>
      </c>
      <c r="DN4" s="133">
        <f>'Quick Analysis'!B27</f>
        <v>4553.3412000001408</v>
      </c>
      <c r="DO4" s="148">
        <f>'Quick Analysis'!C25</f>
        <v>105.33382984822519</v>
      </c>
      <c r="DP4" s="148">
        <f>'Quick Analysis'!C26</f>
        <v>105.68</v>
      </c>
      <c r="DQ4" s="147">
        <f>'Quick Analysis'!C27</f>
        <v>0.34617015177481392</v>
      </c>
    </row>
  </sheetData>
  <sheetProtection password="CEBE"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Instructions</vt:lpstr>
      <vt:lpstr>Employee Direct Care</vt:lpstr>
      <vt:lpstr>FFS-Contracted Direct Care</vt:lpstr>
      <vt:lpstr>Indirect Care Costs</vt:lpstr>
      <vt:lpstr>Model Analysis</vt:lpstr>
      <vt:lpstr>Benchmark Summary</vt:lpstr>
      <vt:lpstr>Quick Analysis</vt:lpstr>
      <vt:lpstr>CPT</vt:lpstr>
      <vt:lpstr>DataTab</vt:lpstr>
      <vt:lpstr>DataCPT</vt:lpstr>
      <vt:lpstr>CPT!Print_Area</vt:lpstr>
      <vt:lpstr>'Indirect Care Costs'!Print_Area</vt:lpstr>
      <vt:lpstr>'Employee Direct Care'!Print_Titles</vt:lpstr>
      <vt:lpstr>'FFS-Contracted Direct Care'!Print_Titles</vt:lpstr>
    </vt:vector>
  </TitlesOfParts>
  <Company>University at Buffalo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 Wawrzynek</dc:creator>
  <cp:lastModifiedBy>Jayson K Jones</cp:lastModifiedBy>
  <cp:lastPrinted>2013-02-07T20:59:47Z</cp:lastPrinted>
  <dcterms:created xsi:type="dcterms:W3CDTF">2011-08-22T22:49:05Z</dcterms:created>
  <dcterms:modified xsi:type="dcterms:W3CDTF">2016-10-14T16:31:31Z</dcterms:modified>
</cp:coreProperties>
</file>